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rcasa-my.sharepoint.com/personal/mmartinez_hircasa_com_mx/Documents/Escritorio/Simulador/"/>
    </mc:Choice>
  </mc:AlternateContent>
  <xr:revisionPtr revIDLastSave="37" documentId="13_ncr:1_{14E967C8-E385-4685-B147-FE18C9213ADB}" xr6:coauthVersionLast="47" xr6:coauthVersionMax="47" xr10:uidLastSave="{C4366F51-256F-495E-A06A-BE2847B94218}"/>
  <bookViews>
    <workbookView xWindow="-108" yWindow="-108" windowWidth="23256" windowHeight="13896" tabRatio="699" activeTab="1" xr2:uid="{00000000-000D-0000-FFFF-FFFF00000000}"/>
  </bookViews>
  <sheets>
    <sheet name="Resumen Flex" sheetId="20" r:id="rId1"/>
    <sheet name="Flex" sheetId="14" r:id="rId2"/>
    <sheet name="Flex Extranjeros" sheetId="18" r:id="rId3"/>
  </sheets>
  <definedNames>
    <definedName name="_xlnm.Print_Area" localSheetId="1">Flex!$A$1:$AB$106</definedName>
    <definedName name="_xlnm.Print_Area" localSheetId="2">'Flex Extranjeros'!$A$1:$AB$106</definedName>
    <definedName name="_xlnm.Print_Area" localSheetId="0">'Resumen Flex'!$A$1:$P$86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8" l="1"/>
  <c r="B7" i="14"/>
  <c r="C20" i="20"/>
  <c r="B17" i="20"/>
  <c r="E18" i="20"/>
  <c r="W87" i="18"/>
  <c r="W75" i="18"/>
  <c r="W63" i="18"/>
  <c r="W51" i="18"/>
  <c r="W39" i="18"/>
  <c r="J87" i="18"/>
  <c r="J75" i="18"/>
  <c r="J63" i="18"/>
  <c r="J51" i="18"/>
  <c r="J39" i="18"/>
  <c r="W87" i="14"/>
  <c r="W75" i="14"/>
  <c r="W63" i="14"/>
  <c r="W51" i="14"/>
  <c r="W39" i="14"/>
  <c r="J87" i="14"/>
  <c r="J75" i="14"/>
  <c r="J63" i="14"/>
  <c r="J51" i="14"/>
  <c r="J39" i="14"/>
  <c r="G7" i="18" l="1"/>
  <c r="G7" i="14"/>
  <c r="J15" i="18"/>
  <c r="I15" i="18"/>
  <c r="I15" i="14"/>
  <c r="J15" i="14"/>
  <c r="AH27" i="18"/>
  <c r="AH24" i="18"/>
  <c r="AH22" i="18"/>
  <c r="AH27" i="14"/>
  <c r="AH24" i="14"/>
  <c r="AH22" i="14"/>
  <c r="B23" i="20"/>
  <c r="E17" i="14" s="1"/>
  <c r="F24" i="20"/>
  <c r="W30" i="20"/>
  <c r="W29" i="20"/>
  <c r="F9" i="20" l="1"/>
  <c r="E17" i="18"/>
  <c r="K46" i="20" l="1"/>
  <c r="I47" i="20" s="1"/>
  <c r="W31" i="20"/>
  <c r="W99" i="18" l="1"/>
  <c r="Y93" i="18"/>
  <c r="Z93" i="18" s="1"/>
  <c r="X93" i="18"/>
  <c r="Y92" i="18"/>
  <c r="Z92" i="18" s="1"/>
  <c r="X92" i="18"/>
  <c r="O92" i="18"/>
  <c r="Y91" i="18"/>
  <c r="Z91" i="18" s="1"/>
  <c r="X91" i="18"/>
  <c r="Y90" i="18"/>
  <c r="Z90" i="18" s="1"/>
  <c r="X90" i="18"/>
  <c r="Y89" i="18"/>
  <c r="Z89" i="18" s="1"/>
  <c r="X89" i="18"/>
  <c r="Y88" i="18"/>
  <c r="Z88" i="18" s="1"/>
  <c r="X88" i="18"/>
  <c r="Y87" i="18"/>
  <c r="Z87" i="18" s="1"/>
  <c r="X87" i="18"/>
  <c r="O87" i="18"/>
  <c r="E18" i="18"/>
  <c r="O93" i="18" l="1"/>
  <c r="O88" i="18"/>
  <c r="O89" i="18" l="1"/>
  <c r="O90" i="18" l="1"/>
  <c r="O91" i="18" l="1"/>
  <c r="AG100" i="18" l="1"/>
  <c r="AG101" i="18" s="1"/>
  <c r="AG102" i="18" s="1"/>
  <c r="AG103" i="18" s="1"/>
  <c r="E19" i="18"/>
  <c r="J99" i="18"/>
  <c r="AV98" i="18"/>
  <c r="L98" i="18"/>
  <c r="M98" i="18" s="1"/>
  <c r="K98" i="18"/>
  <c r="AV97" i="18"/>
  <c r="L97" i="18"/>
  <c r="M97" i="18" s="1"/>
  <c r="K97" i="18"/>
  <c r="AV96" i="18"/>
  <c r="L96" i="18"/>
  <c r="M96" i="18" s="1"/>
  <c r="K96" i="18"/>
  <c r="AV95" i="18"/>
  <c r="L95" i="18"/>
  <c r="M95" i="18" s="1"/>
  <c r="K95" i="18"/>
  <c r="AV94" i="18"/>
  <c r="L94" i="18"/>
  <c r="M94" i="18" s="1"/>
  <c r="K94" i="18"/>
  <c r="AW93" i="18"/>
  <c r="AV93" i="18"/>
  <c r="L93" i="18"/>
  <c r="M93" i="18" s="1"/>
  <c r="K93" i="18"/>
  <c r="AW92" i="18"/>
  <c r="AV92" i="18"/>
  <c r="L92" i="18"/>
  <c r="M92" i="18" s="1"/>
  <c r="K92" i="18"/>
  <c r="AW91" i="18"/>
  <c r="AV91" i="18"/>
  <c r="L91" i="18"/>
  <c r="M91" i="18" s="1"/>
  <c r="K91" i="18"/>
  <c r="AW90" i="18"/>
  <c r="AV90" i="18"/>
  <c r="L90" i="18"/>
  <c r="M90" i="18" s="1"/>
  <c r="K90" i="18"/>
  <c r="AW89" i="18"/>
  <c r="AV89" i="18"/>
  <c r="L89" i="18"/>
  <c r="M89" i="18" s="1"/>
  <c r="K89" i="18"/>
  <c r="AW88" i="18"/>
  <c r="AV88" i="18"/>
  <c r="L88" i="18"/>
  <c r="M88" i="18" s="1"/>
  <c r="K88" i="18"/>
  <c r="AW87" i="18"/>
  <c r="AV87" i="18"/>
  <c r="AW86" i="18"/>
  <c r="AV86" i="18"/>
  <c r="Y86" i="18"/>
  <c r="Z86" i="18" s="1"/>
  <c r="X86" i="18"/>
  <c r="L86" i="18"/>
  <c r="M86" i="18" s="1"/>
  <c r="K86" i="18"/>
  <c r="AW85" i="18"/>
  <c r="AV85" i="18"/>
  <c r="Y85" i="18"/>
  <c r="Z85" i="18" s="1"/>
  <c r="X85" i="18"/>
  <c r="L85" i="18"/>
  <c r="M85" i="18" s="1"/>
  <c r="K85" i="18"/>
  <c r="AW84" i="18"/>
  <c r="AV84" i="18"/>
  <c r="Y84" i="18"/>
  <c r="Z84" i="18" s="1"/>
  <c r="X84" i="18"/>
  <c r="L84" i="18"/>
  <c r="M84" i="18" s="1"/>
  <c r="K84" i="18"/>
  <c r="AW83" i="18"/>
  <c r="AV83" i="18"/>
  <c r="Y83" i="18"/>
  <c r="Z83" i="18" s="1"/>
  <c r="X83" i="18"/>
  <c r="L83" i="18"/>
  <c r="M83" i="18" s="1"/>
  <c r="K83" i="18"/>
  <c r="AW82" i="18"/>
  <c r="AV82" i="18"/>
  <c r="Y82" i="18"/>
  <c r="Z82" i="18" s="1"/>
  <c r="X82" i="18"/>
  <c r="L82" i="18"/>
  <c r="M82" i="18" s="1"/>
  <c r="K82" i="18"/>
  <c r="AW81" i="18"/>
  <c r="AV81" i="18"/>
  <c r="Y81" i="18"/>
  <c r="Z81" i="18" s="1"/>
  <c r="X81" i="18"/>
  <c r="L81" i="18"/>
  <c r="M81" i="18" s="1"/>
  <c r="K81" i="18"/>
  <c r="AW80" i="18"/>
  <c r="AV80" i="18"/>
  <c r="Y80" i="18"/>
  <c r="Z80" i="18" s="1"/>
  <c r="X80" i="18"/>
  <c r="L80" i="18"/>
  <c r="M80" i="18" s="1"/>
  <c r="K80" i="18"/>
  <c r="AW79" i="18"/>
  <c r="AV79" i="18"/>
  <c r="Y79" i="18"/>
  <c r="Z79" i="18" s="1"/>
  <c r="X79" i="18"/>
  <c r="L79" i="18"/>
  <c r="M79" i="18" s="1"/>
  <c r="K79" i="18"/>
  <c r="AW78" i="18"/>
  <c r="AV78" i="18"/>
  <c r="Y78" i="18"/>
  <c r="Z78" i="18" s="1"/>
  <c r="X78" i="18"/>
  <c r="L78" i="18"/>
  <c r="M78" i="18" s="1"/>
  <c r="K78" i="18"/>
  <c r="AW77" i="18"/>
  <c r="AV77" i="18"/>
  <c r="Y77" i="18"/>
  <c r="Z77" i="18" s="1"/>
  <c r="X77" i="18"/>
  <c r="L77" i="18"/>
  <c r="M77" i="18" s="1"/>
  <c r="K77" i="18"/>
  <c r="AW76" i="18"/>
  <c r="AV76" i="18"/>
  <c r="Y76" i="18"/>
  <c r="Z76" i="18" s="1"/>
  <c r="X76" i="18"/>
  <c r="L76" i="18"/>
  <c r="M76" i="18" s="1"/>
  <c r="K76" i="18"/>
  <c r="AW75" i="18"/>
  <c r="AV75" i="18"/>
  <c r="Y75" i="18"/>
  <c r="Z75" i="18" s="1"/>
  <c r="X75" i="18"/>
  <c r="AW74" i="18"/>
  <c r="AV74" i="18"/>
  <c r="Y74" i="18"/>
  <c r="Z74" i="18" s="1"/>
  <c r="X74" i="18"/>
  <c r="L74" i="18"/>
  <c r="M74" i="18" s="1"/>
  <c r="K74" i="18"/>
  <c r="AW73" i="18"/>
  <c r="AV73" i="18"/>
  <c r="Y73" i="18"/>
  <c r="Z73" i="18" s="1"/>
  <c r="X73" i="18"/>
  <c r="L73" i="18"/>
  <c r="M73" i="18" s="1"/>
  <c r="K73" i="18"/>
  <c r="AW72" i="18"/>
  <c r="AV72" i="18"/>
  <c r="Y72" i="18"/>
  <c r="Z72" i="18" s="1"/>
  <c r="X72" i="18"/>
  <c r="L72" i="18"/>
  <c r="M72" i="18" s="1"/>
  <c r="K72" i="18"/>
  <c r="AW71" i="18"/>
  <c r="AV71" i="18"/>
  <c r="Y71" i="18"/>
  <c r="Z71" i="18" s="1"/>
  <c r="X71" i="18"/>
  <c r="L71" i="18"/>
  <c r="M71" i="18" s="1"/>
  <c r="K71" i="18"/>
  <c r="AW70" i="18"/>
  <c r="AV70" i="18"/>
  <c r="Y70" i="18"/>
  <c r="Z70" i="18" s="1"/>
  <c r="X70" i="18"/>
  <c r="L70" i="18"/>
  <c r="M70" i="18" s="1"/>
  <c r="K70" i="18"/>
  <c r="AW69" i="18"/>
  <c r="AV69" i="18"/>
  <c r="Y69" i="18"/>
  <c r="Z69" i="18" s="1"/>
  <c r="X69" i="18"/>
  <c r="L69" i="18"/>
  <c r="M69" i="18" s="1"/>
  <c r="K69" i="18"/>
  <c r="AW68" i="18"/>
  <c r="AV68" i="18"/>
  <c r="Y68" i="18"/>
  <c r="Z68" i="18" s="1"/>
  <c r="X68" i="18"/>
  <c r="L68" i="18"/>
  <c r="M68" i="18" s="1"/>
  <c r="K68" i="18"/>
  <c r="AW67" i="18"/>
  <c r="AV67" i="18"/>
  <c r="Y67" i="18"/>
  <c r="Z67" i="18" s="1"/>
  <c r="X67" i="18"/>
  <c r="L67" i="18"/>
  <c r="M67" i="18" s="1"/>
  <c r="K67" i="18"/>
  <c r="AW66" i="18"/>
  <c r="AV66" i="18"/>
  <c r="Y66" i="18"/>
  <c r="Z66" i="18" s="1"/>
  <c r="X66" i="18"/>
  <c r="L66" i="18"/>
  <c r="M66" i="18" s="1"/>
  <c r="K66" i="18"/>
  <c r="AW65" i="18"/>
  <c r="AV65" i="18"/>
  <c r="Y65" i="18"/>
  <c r="Z65" i="18" s="1"/>
  <c r="X65" i="18"/>
  <c r="L65" i="18"/>
  <c r="M65" i="18" s="1"/>
  <c r="K65" i="18"/>
  <c r="AW64" i="18"/>
  <c r="AV64" i="18"/>
  <c r="Y64" i="18"/>
  <c r="Z64" i="18" s="1"/>
  <c r="X64" i="18"/>
  <c r="L64" i="18"/>
  <c r="M64" i="18" s="1"/>
  <c r="K64" i="18"/>
  <c r="AW63" i="18"/>
  <c r="AV63" i="18"/>
  <c r="Y63" i="18"/>
  <c r="Z63" i="18" s="1"/>
  <c r="X63" i="18"/>
  <c r="AW62" i="18"/>
  <c r="AV62" i="18"/>
  <c r="Y62" i="18"/>
  <c r="Z62" i="18" s="1"/>
  <c r="X62" i="18"/>
  <c r="L62" i="18"/>
  <c r="M62" i="18" s="1"/>
  <c r="K62" i="18"/>
  <c r="AW61" i="18"/>
  <c r="AV61" i="18"/>
  <c r="Y61" i="18"/>
  <c r="Z61" i="18" s="1"/>
  <c r="X61" i="18"/>
  <c r="L61" i="18"/>
  <c r="M61" i="18" s="1"/>
  <c r="K61" i="18"/>
  <c r="AW60" i="18"/>
  <c r="AV60" i="18"/>
  <c r="Y60" i="18"/>
  <c r="Z60" i="18" s="1"/>
  <c r="X60" i="18"/>
  <c r="L60" i="18"/>
  <c r="M60" i="18" s="1"/>
  <c r="K60" i="18"/>
  <c r="AW59" i="18"/>
  <c r="AV59" i="18"/>
  <c r="Y59" i="18"/>
  <c r="Z59" i="18" s="1"/>
  <c r="X59" i="18"/>
  <c r="L59" i="18"/>
  <c r="M59" i="18" s="1"/>
  <c r="K59" i="18"/>
  <c r="AW58" i="18"/>
  <c r="AV58" i="18"/>
  <c r="Y58" i="18"/>
  <c r="Z58" i="18" s="1"/>
  <c r="X58" i="18"/>
  <c r="L58" i="18"/>
  <c r="M58" i="18" s="1"/>
  <c r="K58" i="18"/>
  <c r="AW57" i="18"/>
  <c r="AV57" i="18"/>
  <c r="Y57" i="18"/>
  <c r="Z57" i="18" s="1"/>
  <c r="X57" i="18"/>
  <c r="L57" i="18"/>
  <c r="M57" i="18" s="1"/>
  <c r="K57" i="18"/>
  <c r="AW56" i="18"/>
  <c r="AV56" i="18"/>
  <c r="Y56" i="18"/>
  <c r="Z56" i="18" s="1"/>
  <c r="X56" i="18"/>
  <c r="L56" i="18"/>
  <c r="M56" i="18" s="1"/>
  <c r="K56" i="18"/>
  <c r="AW55" i="18"/>
  <c r="AV55" i="18"/>
  <c r="Y55" i="18"/>
  <c r="Z55" i="18" s="1"/>
  <c r="X55" i="18"/>
  <c r="L55" i="18"/>
  <c r="M55" i="18" s="1"/>
  <c r="K55" i="18"/>
  <c r="AW54" i="18"/>
  <c r="AV54" i="18"/>
  <c r="Y54" i="18"/>
  <c r="Z54" i="18" s="1"/>
  <c r="X54" i="18"/>
  <c r="L54" i="18"/>
  <c r="M54" i="18" s="1"/>
  <c r="K54" i="18"/>
  <c r="AW53" i="18"/>
  <c r="AV53" i="18"/>
  <c r="Y53" i="18"/>
  <c r="Z53" i="18" s="1"/>
  <c r="X53" i="18"/>
  <c r="L53" i="18"/>
  <c r="M53" i="18" s="1"/>
  <c r="K53" i="18"/>
  <c r="AW52" i="18"/>
  <c r="AV52" i="18"/>
  <c r="Y52" i="18"/>
  <c r="Z52" i="18" s="1"/>
  <c r="X52" i="18"/>
  <c r="L52" i="18"/>
  <c r="M52" i="18" s="1"/>
  <c r="K52" i="18"/>
  <c r="AW51" i="18"/>
  <c r="AV51" i="18"/>
  <c r="Y51" i="18"/>
  <c r="Z51" i="18" s="1"/>
  <c r="X51" i="18"/>
  <c r="AW50" i="18"/>
  <c r="AV50" i="18"/>
  <c r="Y50" i="18"/>
  <c r="Z50" i="18" s="1"/>
  <c r="X50" i="18"/>
  <c r="L50" i="18"/>
  <c r="M50" i="18" s="1"/>
  <c r="K50" i="18"/>
  <c r="AW49" i="18"/>
  <c r="AV49" i="18"/>
  <c r="L49" i="18"/>
  <c r="M49" i="18" s="1"/>
  <c r="K49" i="18"/>
  <c r="AW48" i="18"/>
  <c r="AV48" i="18"/>
  <c r="Y48" i="18"/>
  <c r="Z48" i="18" s="1"/>
  <c r="X48" i="18"/>
  <c r="L48" i="18"/>
  <c r="M48" i="18" s="1"/>
  <c r="K48" i="18"/>
  <c r="AW47" i="18"/>
  <c r="AV47" i="18"/>
  <c r="Y47" i="18"/>
  <c r="Z47" i="18" s="1"/>
  <c r="X47" i="18"/>
  <c r="L47" i="18"/>
  <c r="M47" i="18" s="1"/>
  <c r="K47" i="18"/>
  <c r="AW46" i="18"/>
  <c r="AV46" i="18"/>
  <c r="Y46" i="18"/>
  <c r="Z46" i="18" s="1"/>
  <c r="X46" i="18"/>
  <c r="L46" i="18"/>
  <c r="M46" i="18" s="1"/>
  <c r="K46" i="18"/>
  <c r="AW45" i="18"/>
  <c r="AV45" i="18"/>
  <c r="Y45" i="18"/>
  <c r="Z45" i="18" s="1"/>
  <c r="X45" i="18"/>
  <c r="L45" i="18"/>
  <c r="M45" i="18" s="1"/>
  <c r="K45" i="18"/>
  <c r="AW44" i="18"/>
  <c r="AV44" i="18"/>
  <c r="L44" i="18"/>
  <c r="M44" i="18" s="1"/>
  <c r="K44" i="18"/>
  <c r="AW43" i="18"/>
  <c r="AV43" i="18"/>
  <c r="L43" i="18"/>
  <c r="M43" i="18" s="1"/>
  <c r="K43" i="18"/>
  <c r="AW42" i="18"/>
  <c r="AV42" i="18"/>
  <c r="AG42" i="18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Y42" i="18"/>
  <c r="Z42" i="18" s="1"/>
  <c r="X42" i="18"/>
  <c r="AW41" i="18"/>
  <c r="AV41" i="18"/>
  <c r="Y41" i="18"/>
  <c r="Z41" i="18" s="1"/>
  <c r="X41" i="18"/>
  <c r="L41" i="18"/>
  <c r="M41" i="18" s="1"/>
  <c r="K41" i="18"/>
  <c r="AW40" i="18"/>
  <c r="AV40" i="18"/>
  <c r="AG40" i="18"/>
  <c r="AG41" i="18" s="1"/>
  <c r="Y40" i="18"/>
  <c r="Z40" i="18" s="1"/>
  <c r="X40" i="18"/>
  <c r="L40" i="18"/>
  <c r="M40" i="18" s="1"/>
  <c r="K40" i="18"/>
  <c r="B40" i="18"/>
  <c r="BJ39" i="18"/>
  <c r="BJ40" i="18" s="1"/>
  <c r="BJ41" i="18" s="1"/>
  <c r="BJ42" i="18" s="1"/>
  <c r="BJ43" i="18" s="1"/>
  <c r="BJ44" i="18" s="1"/>
  <c r="BJ45" i="18" s="1"/>
  <c r="BJ46" i="18" s="1"/>
  <c r="BJ47" i="18" s="1"/>
  <c r="BJ48" i="18" s="1"/>
  <c r="BJ49" i="18" s="1"/>
  <c r="BJ50" i="18" s="1"/>
  <c r="BJ51" i="18" s="1"/>
  <c r="BJ52" i="18" s="1"/>
  <c r="BJ53" i="18" s="1"/>
  <c r="BJ54" i="18" s="1"/>
  <c r="BJ55" i="18" s="1"/>
  <c r="BJ56" i="18" s="1"/>
  <c r="BJ57" i="18" s="1"/>
  <c r="BJ58" i="18" s="1"/>
  <c r="BJ59" i="18" s="1"/>
  <c r="BJ60" i="18" s="1"/>
  <c r="BJ61" i="18" s="1"/>
  <c r="BJ62" i="18" s="1"/>
  <c r="BJ63" i="18" s="1"/>
  <c r="BJ64" i="18" s="1"/>
  <c r="BJ65" i="18" s="1"/>
  <c r="BJ66" i="18" s="1"/>
  <c r="BJ67" i="18" s="1"/>
  <c r="BJ68" i="18" s="1"/>
  <c r="BJ69" i="18" s="1"/>
  <c r="BJ70" i="18" s="1"/>
  <c r="BJ71" i="18" s="1"/>
  <c r="BJ72" i="18" s="1"/>
  <c r="BJ73" i="18" s="1"/>
  <c r="BJ74" i="18" s="1"/>
  <c r="BJ75" i="18" s="1"/>
  <c r="BJ76" i="18" s="1"/>
  <c r="BJ77" i="18" s="1"/>
  <c r="BJ78" i="18" s="1"/>
  <c r="BJ79" i="18" s="1"/>
  <c r="BJ80" i="18" s="1"/>
  <c r="BJ81" i="18" s="1"/>
  <c r="BJ82" i="18" s="1"/>
  <c r="BJ83" i="18" s="1"/>
  <c r="BJ84" i="18" s="1"/>
  <c r="BJ85" i="18" s="1"/>
  <c r="BJ86" i="18" s="1"/>
  <c r="BJ87" i="18" s="1"/>
  <c r="BJ88" i="18" s="1"/>
  <c r="BJ89" i="18" s="1"/>
  <c r="BJ90" i="18" s="1"/>
  <c r="BJ91" i="18" s="1"/>
  <c r="BJ92" i="18" s="1"/>
  <c r="BJ93" i="18" s="1"/>
  <c r="BJ94" i="18" s="1"/>
  <c r="BJ95" i="18" s="1"/>
  <c r="BJ96" i="18" s="1"/>
  <c r="BJ97" i="18" s="1"/>
  <c r="BJ98" i="18" s="1"/>
  <c r="BJ99" i="18" s="1"/>
  <c r="BJ100" i="18" s="1"/>
  <c r="BJ101" i="18" s="1"/>
  <c r="BJ102" i="18" s="1"/>
  <c r="BJ103" i="18" s="1"/>
  <c r="BJ104" i="18" s="1"/>
  <c r="BJ105" i="18" s="1"/>
  <c r="BJ106" i="18" s="1"/>
  <c r="BJ107" i="18" s="1"/>
  <c r="BJ108" i="18" s="1"/>
  <c r="BJ109" i="18" s="1"/>
  <c r="BJ110" i="18" s="1"/>
  <c r="BJ111" i="18" s="1"/>
  <c r="BJ112" i="18" s="1"/>
  <c r="BJ113" i="18" s="1"/>
  <c r="BJ114" i="18" s="1"/>
  <c r="BJ115" i="18" s="1"/>
  <c r="BJ116" i="18" s="1"/>
  <c r="BJ117" i="18" s="1"/>
  <c r="BJ118" i="18" s="1"/>
  <c r="BJ119" i="18" s="1"/>
  <c r="BJ120" i="18" s="1"/>
  <c r="BJ121" i="18" s="1"/>
  <c r="BJ122" i="18" s="1"/>
  <c r="BJ123" i="18" s="1"/>
  <c r="BJ124" i="18" s="1"/>
  <c r="BJ125" i="18" s="1"/>
  <c r="BJ126" i="18" s="1"/>
  <c r="BJ127" i="18" s="1"/>
  <c r="BJ128" i="18" s="1"/>
  <c r="BJ129" i="18" s="1"/>
  <c r="BJ130" i="18" s="1"/>
  <c r="BJ131" i="18" s="1"/>
  <c r="BJ132" i="18" s="1"/>
  <c r="BJ133" i="18" s="1"/>
  <c r="BJ134" i="18" s="1"/>
  <c r="BJ135" i="18" s="1"/>
  <c r="BJ136" i="18" s="1"/>
  <c r="BJ137" i="18" s="1"/>
  <c r="BJ138" i="18" s="1"/>
  <c r="BJ139" i="18" s="1"/>
  <c r="BJ140" i="18" s="1"/>
  <c r="BJ141" i="18" s="1"/>
  <c r="BJ142" i="18" s="1"/>
  <c r="BJ143" i="18" s="1"/>
  <c r="BJ144" i="18" s="1"/>
  <c r="BJ145" i="18" s="1"/>
  <c r="BJ146" i="18" s="1"/>
  <c r="BJ147" i="18" s="1"/>
  <c r="BJ148" i="18" s="1"/>
  <c r="BJ149" i="18" s="1"/>
  <c r="BJ150" i="18" s="1"/>
  <c r="BJ151" i="18" s="1"/>
  <c r="BJ152" i="18" s="1"/>
  <c r="BJ153" i="18" s="1"/>
  <c r="BG39" i="18"/>
  <c r="BG40" i="18" s="1"/>
  <c r="BG41" i="18" s="1"/>
  <c r="BG42" i="18" s="1"/>
  <c r="BG43" i="18" s="1"/>
  <c r="BG44" i="18" s="1"/>
  <c r="BG45" i="18" s="1"/>
  <c r="BG46" i="18" s="1"/>
  <c r="BG47" i="18" s="1"/>
  <c r="BG48" i="18" s="1"/>
  <c r="BG49" i="18" s="1"/>
  <c r="BG50" i="18" s="1"/>
  <c r="BG51" i="18" s="1"/>
  <c r="BG52" i="18" s="1"/>
  <c r="BG53" i="18" s="1"/>
  <c r="BG54" i="18" s="1"/>
  <c r="BG55" i="18" s="1"/>
  <c r="BG56" i="18" s="1"/>
  <c r="BG57" i="18" s="1"/>
  <c r="BG58" i="18" s="1"/>
  <c r="BG59" i="18" s="1"/>
  <c r="BG60" i="18" s="1"/>
  <c r="BG61" i="18" s="1"/>
  <c r="BG62" i="18" s="1"/>
  <c r="BG63" i="18" s="1"/>
  <c r="BG64" i="18" s="1"/>
  <c r="BG65" i="18" s="1"/>
  <c r="BG66" i="18" s="1"/>
  <c r="BG67" i="18" s="1"/>
  <c r="BG68" i="18" s="1"/>
  <c r="BG69" i="18" s="1"/>
  <c r="BG70" i="18" s="1"/>
  <c r="BG71" i="18" s="1"/>
  <c r="BG72" i="18" s="1"/>
  <c r="BG73" i="18" s="1"/>
  <c r="BG74" i="18" s="1"/>
  <c r="BG75" i="18" s="1"/>
  <c r="BG76" i="18" s="1"/>
  <c r="BG77" i="18" s="1"/>
  <c r="BG78" i="18" s="1"/>
  <c r="BG79" i="18" s="1"/>
  <c r="BG80" i="18" s="1"/>
  <c r="BG81" i="18" s="1"/>
  <c r="BG82" i="18" s="1"/>
  <c r="BG83" i="18" s="1"/>
  <c r="BG84" i="18" s="1"/>
  <c r="BG85" i="18" s="1"/>
  <c r="BG86" i="18" s="1"/>
  <c r="BG87" i="18" s="1"/>
  <c r="BG88" i="18" s="1"/>
  <c r="BG89" i="18" s="1"/>
  <c r="BG90" i="18" s="1"/>
  <c r="BG91" i="18" s="1"/>
  <c r="BG92" i="18" s="1"/>
  <c r="BG93" i="18" s="1"/>
  <c r="BG94" i="18" s="1"/>
  <c r="BG95" i="18" s="1"/>
  <c r="BG96" i="18" s="1"/>
  <c r="BG97" i="18" s="1"/>
  <c r="BG98" i="18" s="1"/>
  <c r="BG99" i="18" s="1"/>
  <c r="BG100" i="18" s="1"/>
  <c r="BG101" i="18" s="1"/>
  <c r="BG102" i="18" s="1"/>
  <c r="BG103" i="18" s="1"/>
  <c r="BG104" i="18" s="1"/>
  <c r="BG105" i="18" s="1"/>
  <c r="BG106" i="18" s="1"/>
  <c r="BG107" i="18" s="1"/>
  <c r="BG108" i="18" s="1"/>
  <c r="BG109" i="18" s="1"/>
  <c r="BG110" i="18" s="1"/>
  <c r="BG111" i="18" s="1"/>
  <c r="BG112" i="18" s="1"/>
  <c r="BG113" i="18" s="1"/>
  <c r="BG114" i="18" s="1"/>
  <c r="BG115" i="18" s="1"/>
  <c r="BG116" i="18" s="1"/>
  <c r="BG117" i="18" s="1"/>
  <c r="BG118" i="18" s="1"/>
  <c r="BG119" i="18" s="1"/>
  <c r="BG120" i="18" s="1"/>
  <c r="BG121" i="18" s="1"/>
  <c r="BG122" i="18" s="1"/>
  <c r="BG123" i="18" s="1"/>
  <c r="BG124" i="18" s="1"/>
  <c r="BG125" i="18" s="1"/>
  <c r="BG126" i="18" s="1"/>
  <c r="BG127" i="18" s="1"/>
  <c r="BG128" i="18" s="1"/>
  <c r="BG129" i="18" s="1"/>
  <c r="BG130" i="18" s="1"/>
  <c r="BG131" i="18" s="1"/>
  <c r="BG132" i="18" s="1"/>
  <c r="BG133" i="18" s="1"/>
  <c r="BG134" i="18" s="1"/>
  <c r="BG135" i="18" s="1"/>
  <c r="BG136" i="18" s="1"/>
  <c r="BG137" i="18" s="1"/>
  <c r="BG138" i="18" s="1"/>
  <c r="BG139" i="18" s="1"/>
  <c r="BG140" i="18" s="1"/>
  <c r="BG141" i="18" s="1"/>
  <c r="BG142" i="18" s="1"/>
  <c r="BG143" i="18" s="1"/>
  <c r="BG144" i="18" s="1"/>
  <c r="BG145" i="18" s="1"/>
  <c r="BG146" i="18" s="1"/>
  <c r="BG147" i="18" s="1"/>
  <c r="BG148" i="18" s="1"/>
  <c r="BG149" i="18" s="1"/>
  <c r="BG150" i="18" s="1"/>
  <c r="BG151" i="18" s="1"/>
  <c r="BG152" i="18" s="1"/>
  <c r="BG153" i="18" s="1"/>
  <c r="BD39" i="18"/>
  <c r="BD40" i="18" s="1"/>
  <c r="BD41" i="18" s="1"/>
  <c r="BD42" i="18" s="1"/>
  <c r="BD43" i="18" s="1"/>
  <c r="BD44" i="18" s="1"/>
  <c r="BD45" i="18" s="1"/>
  <c r="BD46" i="18" s="1"/>
  <c r="BD47" i="18" s="1"/>
  <c r="BD48" i="18" s="1"/>
  <c r="BD49" i="18" s="1"/>
  <c r="BD50" i="18" s="1"/>
  <c r="BD51" i="18" s="1"/>
  <c r="BD52" i="18" s="1"/>
  <c r="BD53" i="18" s="1"/>
  <c r="BD54" i="18" s="1"/>
  <c r="BD55" i="18" s="1"/>
  <c r="BD56" i="18" s="1"/>
  <c r="BD57" i="18" s="1"/>
  <c r="BD58" i="18" s="1"/>
  <c r="BD59" i="18" s="1"/>
  <c r="BD60" i="18" s="1"/>
  <c r="BD61" i="18" s="1"/>
  <c r="BD62" i="18" s="1"/>
  <c r="BD63" i="18" s="1"/>
  <c r="BD64" i="18" s="1"/>
  <c r="BD65" i="18" s="1"/>
  <c r="BD66" i="18" s="1"/>
  <c r="BD67" i="18" s="1"/>
  <c r="BD68" i="18" s="1"/>
  <c r="BD69" i="18" s="1"/>
  <c r="BD70" i="18" s="1"/>
  <c r="BD71" i="18" s="1"/>
  <c r="BD72" i="18" s="1"/>
  <c r="BD73" i="18" s="1"/>
  <c r="BD74" i="18" s="1"/>
  <c r="BD75" i="18" s="1"/>
  <c r="BD76" i="18" s="1"/>
  <c r="BD77" i="18" s="1"/>
  <c r="BD78" i="18" s="1"/>
  <c r="BD79" i="18" s="1"/>
  <c r="BD80" i="18" s="1"/>
  <c r="BD81" i="18" s="1"/>
  <c r="BD82" i="18" s="1"/>
  <c r="BD83" i="18" s="1"/>
  <c r="BD84" i="18" s="1"/>
  <c r="BD85" i="18" s="1"/>
  <c r="BD86" i="18" s="1"/>
  <c r="BD87" i="18" s="1"/>
  <c r="BD88" i="18" s="1"/>
  <c r="BD89" i="18" s="1"/>
  <c r="BD90" i="18" s="1"/>
  <c r="BD91" i="18" s="1"/>
  <c r="BD92" i="18" s="1"/>
  <c r="BD93" i="18" s="1"/>
  <c r="BD94" i="18" s="1"/>
  <c r="BD95" i="18" s="1"/>
  <c r="BD96" i="18" s="1"/>
  <c r="BD97" i="18" s="1"/>
  <c r="BD98" i="18" s="1"/>
  <c r="BD99" i="18" s="1"/>
  <c r="BD100" i="18" s="1"/>
  <c r="BD101" i="18" s="1"/>
  <c r="BD102" i="18" s="1"/>
  <c r="BD103" i="18" s="1"/>
  <c r="BD104" i="18" s="1"/>
  <c r="BD105" i="18" s="1"/>
  <c r="BD106" i="18" s="1"/>
  <c r="BD107" i="18" s="1"/>
  <c r="BD108" i="18" s="1"/>
  <c r="BD109" i="18" s="1"/>
  <c r="BD110" i="18" s="1"/>
  <c r="BD111" i="18" s="1"/>
  <c r="BD112" i="18" s="1"/>
  <c r="BD113" i="18" s="1"/>
  <c r="BD114" i="18" s="1"/>
  <c r="BD115" i="18" s="1"/>
  <c r="BD116" i="18" s="1"/>
  <c r="BD117" i="18" s="1"/>
  <c r="BD118" i="18" s="1"/>
  <c r="BD119" i="18" s="1"/>
  <c r="BD120" i="18" s="1"/>
  <c r="BD121" i="18" s="1"/>
  <c r="BD122" i="18" s="1"/>
  <c r="BD123" i="18" s="1"/>
  <c r="BD124" i="18" s="1"/>
  <c r="BD125" i="18" s="1"/>
  <c r="BD126" i="18" s="1"/>
  <c r="BD127" i="18" s="1"/>
  <c r="BD128" i="18" s="1"/>
  <c r="BD129" i="18" s="1"/>
  <c r="BD130" i="18" s="1"/>
  <c r="BD131" i="18" s="1"/>
  <c r="BD132" i="18" s="1"/>
  <c r="BD133" i="18" s="1"/>
  <c r="BD134" i="18" s="1"/>
  <c r="BD135" i="18" s="1"/>
  <c r="BD136" i="18" s="1"/>
  <c r="BD137" i="18" s="1"/>
  <c r="BD138" i="18" s="1"/>
  <c r="BD139" i="18" s="1"/>
  <c r="BD140" i="18" s="1"/>
  <c r="BD141" i="18" s="1"/>
  <c r="BD142" i="18" s="1"/>
  <c r="BD143" i="18" s="1"/>
  <c r="BD144" i="18" s="1"/>
  <c r="BD145" i="18" s="1"/>
  <c r="BD146" i="18" s="1"/>
  <c r="BD147" i="18" s="1"/>
  <c r="BD148" i="18" s="1"/>
  <c r="BD149" i="18" s="1"/>
  <c r="BD150" i="18" s="1"/>
  <c r="BD151" i="18" s="1"/>
  <c r="BD152" i="18" s="1"/>
  <c r="BD153" i="18" s="1"/>
  <c r="BA39" i="18"/>
  <c r="AL39" i="18" s="1"/>
  <c r="AL40" i="18" s="1"/>
  <c r="AL41" i="18" s="1"/>
  <c r="AL42" i="18" s="1"/>
  <c r="AW39" i="18"/>
  <c r="AV39" i="18"/>
  <c r="AQ39" i="18"/>
  <c r="AQ40" i="18" s="1"/>
  <c r="AQ41" i="18" s="1"/>
  <c r="AI39" i="18"/>
  <c r="AI40" i="18" s="1"/>
  <c r="AI41" i="18" s="1"/>
  <c r="AI42" i="18" s="1"/>
  <c r="AI43" i="18" s="1"/>
  <c r="AI44" i="18" s="1"/>
  <c r="AI45" i="18" s="1"/>
  <c r="AI46" i="18" s="1"/>
  <c r="AI47" i="18" s="1"/>
  <c r="AI48" i="18" s="1"/>
  <c r="AI49" i="18" s="1"/>
  <c r="AI50" i="18" s="1"/>
  <c r="AI51" i="18" s="1"/>
  <c r="AI52" i="18" s="1"/>
  <c r="AI53" i="18" s="1"/>
  <c r="AI54" i="18" s="1"/>
  <c r="AI55" i="18" s="1"/>
  <c r="AI56" i="18" s="1"/>
  <c r="AI57" i="18" s="1"/>
  <c r="AI58" i="18" s="1"/>
  <c r="AI59" i="18" s="1"/>
  <c r="AI60" i="18" s="1"/>
  <c r="AI61" i="18" s="1"/>
  <c r="AI62" i="18" s="1"/>
  <c r="AI63" i="18" s="1"/>
  <c r="AI64" i="18" s="1"/>
  <c r="AI65" i="18" s="1"/>
  <c r="AI66" i="18" s="1"/>
  <c r="AI67" i="18" s="1"/>
  <c r="AI68" i="18" s="1"/>
  <c r="AI69" i="18" s="1"/>
  <c r="AI70" i="18" s="1"/>
  <c r="AI71" i="18" s="1"/>
  <c r="AI72" i="18" s="1"/>
  <c r="AI73" i="18" s="1"/>
  <c r="AI74" i="18" s="1"/>
  <c r="AI75" i="18" s="1"/>
  <c r="AI76" i="18" s="1"/>
  <c r="AI77" i="18" s="1"/>
  <c r="AI78" i="18" s="1"/>
  <c r="AI79" i="18" s="1"/>
  <c r="AI80" i="18" s="1"/>
  <c r="AI81" i="18" s="1"/>
  <c r="AI82" i="18" s="1"/>
  <c r="AI83" i="18" s="1"/>
  <c r="AI84" i="18" s="1"/>
  <c r="AI85" i="18" s="1"/>
  <c r="AI86" i="18" s="1"/>
  <c r="AI87" i="18" s="1"/>
  <c r="AI88" i="18" s="1"/>
  <c r="AI89" i="18" s="1"/>
  <c r="AI90" i="18" s="1"/>
  <c r="AI91" i="18" s="1"/>
  <c r="AI92" i="18" s="1"/>
  <c r="AI93" i="18" s="1"/>
  <c r="AI94" i="18" s="1"/>
  <c r="AI95" i="18" s="1"/>
  <c r="AI96" i="18" s="1"/>
  <c r="AI97" i="18" s="1"/>
  <c r="AI98" i="18" s="1"/>
  <c r="AI99" i="18" s="1"/>
  <c r="AI100" i="18" s="1"/>
  <c r="AI101" i="18" s="1"/>
  <c r="AI102" i="18" s="1"/>
  <c r="AI103" i="18" s="1"/>
  <c r="AI104" i="18" s="1"/>
  <c r="AI105" i="18" s="1"/>
  <c r="AI106" i="18" s="1"/>
  <c r="AI107" i="18" s="1"/>
  <c r="AI108" i="18" s="1"/>
  <c r="AI109" i="18" s="1"/>
  <c r="AI110" i="18" s="1"/>
  <c r="AI111" i="18" s="1"/>
  <c r="AI112" i="18" s="1"/>
  <c r="AI113" i="18" s="1"/>
  <c r="AI114" i="18" s="1"/>
  <c r="AI115" i="18" s="1"/>
  <c r="AI116" i="18" s="1"/>
  <c r="AI117" i="18" s="1"/>
  <c r="AI118" i="18" s="1"/>
  <c r="AI119" i="18" s="1"/>
  <c r="AI120" i="18" s="1"/>
  <c r="AI121" i="18" s="1"/>
  <c r="AI122" i="18" s="1"/>
  <c r="AI123" i="18" s="1"/>
  <c r="AI124" i="18" s="1"/>
  <c r="AI125" i="18" s="1"/>
  <c r="AI126" i="18" s="1"/>
  <c r="AI127" i="18" s="1"/>
  <c r="AI128" i="18" s="1"/>
  <c r="AI129" i="18" s="1"/>
  <c r="AI130" i="18" s="1"/>
  <c r="AI131" i="18" s="1"/>
  <c r="AI132" i="18" s="1"/>
  <c r="AI133" i="18" s="1"/>
  <c r="AI134" i="18" s="1"/>
  <c r="AI135" i="18" s="1"/>
  <c r="AI136" i="18" s="1"/>
  <c r="AI137" i="18" s="1"/>
  <c r="AI138" i="18" s="1"/>
  <c r="AI139" i="18" s="1"/>
  <c r="AI140" i="18" s="1"/>
  <c r="AI141" i="18" s="1"/>
  <c r="AI142" i="18" s="1"/>
  <c r="AI143" i="18" s="1"/>
  <c r="AI144" i="18" s="1"/>
  <c r="AI145" i="18" s="1"/>
  <c r="AI146" i="18" s="1"/>
  <c r="AI147" i="18" s="1"/>
  <c r="AI148" i="18" s="1"/>
  <c r="AI149" i="18" s="1"/>
  <c r="AI150" i="18" s="1"/>
  <c r="AI151" i="18" s="1"/>
  <c r="AI152" i="18" s="1"/>
  <c r="AI153" i="18" s="1"/>
  <c r="AH39" i="18"/>
  <c r="BN39" i="18" s="1"/>
  <c r="BV30" i="18"/>
  <c r="BB30" i="18"/>
  <c r="BE29" i="18"/>
  <c r="BP28" i="18"/>
  <c r="BE28" i="18"/>
  <c r="BB28" i="18"/>
  <c r="BE27" i="18"/>
  <c r="AJ23" i="18"/>
  <c r="BB27" i="18" s="1"/>
  <c r="AJ22" i="18"/>
  <c r="T22" i="18"/>
  <c r="S21" i="18"/>
  <c r="BB29" i="18" s="1"/>
  <c r="E21" i="18"/>
  <c r="J19" i="18"/>
  <c r="O17" i="18"/>
  <c r="E9" i="18"/>
  <c r="E18" i="14"/>
  <c r="B24" i="20" s="1"/>
  <c r="B25" i="20" s="1"/>
  <c r="B21" i="18" l="1"/>
  <c r="O18" i="18" s="1"/>
  <c r="M20" i="18" s="1"/>
  <c r="BA40" i="18"/>
  <c r="BA41" i="18" s="1"/>
  <c r="BA42" i="18" s="1"/>
  <c r="BA43" i="18" s="1"/>
  <c r="S6" i="18"/>
  <c r="G23" i="18"/>
  <c r="R102" i="18"/>
  <c r="O19" i="18"/>
  <c r="BB26" i="18"/>
  <c r="AL43" i="18"/>
  <c r="AQ42" i="18"/>
  <c r="B41" i="18"/>
  <c r="BU39" i="18"/>
  <c r="F17" i="18" s="1"/>
  <c r="T19" i="18"/>
  <c r="F18" i="18"/>
  <c r="AH40" i="18"/>
  <c r="G8" i="18"/>
  <c r="G9" i="18" s="1"/>
  <c r="BQ39" i="18"/>
  <c r="BN30" i="18"/>
  <c r="K97" i="14"/>
  <c r="K96" i="14"/>
  <c r="K94" i="14"/>
  <c r="K92" i="14"/>
  <c r="K91" i="14"/>
  <c r="K88" i="14"/>
  <c r="K85" i="14"/>
  <c r="K83" i="14"/>
  <c r="K82" i="14"/>
  <c r="K81" i="14"/>
  <c r="K80" i="14"/>
  <c r="K79" i="14"/>
  <c r="K78" i="14"/>
  <c r="K73" i="14"/>
  <c r="K72" i="14"/>
  <c r="K71" i="14"/>
  <c r="K70" i="14"/>
  <c r="K69" i="14"/>
  <c r="K68" i="14"/>
  <c r="K67" i="14"/>
  <c r="K66" i="14"/>
  <c r="K65" i="14"/>
  <c r="K64" i="14"/>
  <c r="K61" i="14"/>
  <c r="K60" i="14"/>
  <c r="K59" i="14"/>
  <c r="K58" i="14"/>
  <c r="K57" i="14"/>
  <c r="K56" i="14"/>
  <c r="K54" i="14"/>
  <c r="L61" i="14"/>
  <c r="M61" i="14" s="1"/>
  <c r="L60" i="14"/>
  <c r="M60" i="14" s="1"/>
  <c r="L59" i="14"/>
  <c r="M59" i="14" s="1"/>
  <c r="L58" i="14"/>
  <c r="M58" i="14" s="1"/>
  <c r="L57" i="14"/>
  <c r="M57" i="14" s="1"/>
  <c r="L56" i="14"/>
  <c r="M56" i="14" s="1"/>
  <c r="L54" i="14"/>
  <c r="M54" i="14" s="1"/>
  <c r="L97" i="14"/>
  <c r="M97" i="14" s="1"/>
  <c r="L96" i="14"/>
  <c r="M96" i="14" s="1"/>
  <c r="L94" i="14"/>
  <c r="M94" i="14" s="1"/>
  <c r="L92" i="14"/>
  <c r="M92" i="14" s="1"/>
  <c r="L91" i="14"/>
  <c r="M91" i="14" s="1"/>
  <c r="L88" i="14"/>
  <c r="M88" i="14" s="1"/>
  <c r="L85" i="14"/>
  <c r="M85" i="14" s="1"/>
  <c r="L83" i="14"/>
  <c r="M83" i="14" s="1"/>
  <c r="L82" i="14"/>
  <c r="M82" i="14" s="1"/>
  <c r="L81" i="14"/>
  <c r="M81" i="14" s="1"/>
  <c r="L80" i="14"/>
  <c r="M80" i="14" s="1"/>
  <c r="L79" i="14"/>
  <c r="M79" i="14" s="1"/>
  <c r="L78" i="14"/>
  <c r="M78" i="14" s="1"/>
  <c r="L73" i="14"/>
  <c r="M73" i="14" s="1"/>
  <c r="L72" i="14"/>
  <c r="M72" i="14" s="1"/>
  <c r="L71" i="14"/>
  <c r="M71" i="14" s="1"/>
  <c r="L70" i="14"/>
  <c r="M70" i="14" s="1"/>
  <c r="L69" i="14"/>
  <c r="M69" i="14" s="1"/>
  <c r="L68" i="14"/>
  <c r="M68" i="14" s="1"/>
  <c r="L67" i="14"/>
  <c r="M67" i="14" s="1"/>
  <c r="L66" i="14"/>
  <c r="M66" i="14" s="1"/>
  <c r="L65" i="14"/>
  <c r="M65" i="14" s="1"/>
  <c r="L64" i="14"/>
  <c r="M64" i="14" s="1"/>
  <c r="Y98" i="14"/>
  <c r="Z98" i="14" s="1"/>
  <c r="X98" i="14"/>
  <c r="Y97" i="14"/>
  <c r="Z97" i="14" s="1"/>
  <c r="X97" i="14"/>
  <c r="Y96" i="14"/>
  <c r="Z96" i="14" s="1"/>
  <c r="X96" i="14"/>
  <c r="Y95" i="14"/>
  <c r="Z95" i="14" s="1"/>
  <c r="X95" i="14"/>
  <c r="Y94" i="14"/>
  <c r="Z94" i="14" s="1"/>
  <c r="X94" i="14"/>
  <c r="Y92" i="14"/>
  <c r="Z92" i="14" s="1"/>
  <c r="X92" i="14"/>
  <c r="Y91" i="14"/>
  <c r="Z91" i="14" s="1"/>
  <c r="X91" i="14"/>
  <c r="Y90" i="14"/>
  <c r="Z90" i="14" s="1"/>
  <c r="X90" i="14"/>
  <c r="Y89" i="14"/>
  <c r="Z89" i="14" s="1"/>
  <c r="X89" i="14"/>
  <c r="Y88" i="14"/>
  <c r="Z88" i="14" s="1"/>
  <c r="X88" i="14"/>
  <c r="Y87" i="14"/>
  <c r="Z87" i="14" s="1"/>
  <c r="X87" i="14"/>
  <c r="Y86" i="14"/>
  <c r="Z86" i="14" s="1"/>
  <c r="X86" i="14"/>
  <c r="Y85" i="14"/>
  <c r="Z85" i="14" s="1"/>
  <c r="X85" i="14"/>
  <c r="Y83" i="14"/>
  <c r="Z83" i="14" s="1"/>
  <c r="X83" i="14"/>
  <c r="Y82" i="14"/>
  <c r="Z82" i="14" s="1"/>
  <c r="X82" i="14"/>
  <c r="Y81" i="14"/>
  <c r="Z81" i="14" s="1"/>
  <c r="X81" i="14"/>
  <c r="Y80" i="14"/>
  <c r="Z80" i="14" s="1"/>
  <c r="X80" i="14"/>
  <c r="Y79" i="14"/>
  <c r="Z79" i="14" s="1"/>
  <c r="X79" i="14"/>
  <c r="Y78" i="14"/>
  <c r="Z78" i="14" s="1"/>
  <c r="X78" i="14"/>
  <c r="Y77" i="14"/>
  <c r="Z77" i="14" s="1"/>
  <c r="X77" i="14"/>
  <c r="Y76" i="14"/>
  <c r="Z76" i="14" s="1"/>
  <c r="X76" i="14"/>
  <c r="Y75" i="14"/>
  <c r="Z75" i="14" s="1"/>
  <c r="X75" i="14"/>
  <c r="Y74" i="14"/>
  <c r="Z74" i="14" s="1"/>
  <c r="X74" i="14"/>
  <c r="Y73" i="14"/>
  <c r="Z73" i="14" s="1"/>
  <c r="X73" i="14"/>
  <c r="Y72" i="14"/>
  <c r="Z72" i="14" s="1"/>
  <c r="X72" i="14"/>
  <c r="Y71" i="14"/>
  <c r="Z71" i="14" s="1"/>
  <c r="X71" i="14"/>
  <c r="Y70" i="14"/>
  <c r="Z70" i="14" s="1"/>
  <c r="X70" i="14"/>
  <c r="Y69" i="14"/>
  <c r="Z69" i="14" s="1"/>
  <c r="X69" i="14"/>
  <c r="Y68" i="14"/>
  <c r="Z68" i="14" s="1"/>
  <c r="X68" i="14"/>
  <c r="Y67" i="14"/>
  <c r="Z67" i="14" s="1"/>
  <c r="X67" i="14"/>
  <c r="Y66" i="14"/>
  <c r="Z66" i="14" s="1"/>
  <c r="X66" i="14"/>
  <c r="Y65" i="14"/>
  <c r="Z65" i="14" s="1"/>
  <c r="X65" i="14"/>
  <c r="Y64" i="14"/>
  <c r="Z64" i="14" s="1"/>
  <c r="X64" i="14"/>
  <c r="Y63" i="14"/>
  <c r="Z63" i="14" s="1"/>
  <c r="X63" i="14"/>
  <c r="Y62" i="14"/>
  <c r="Z62" i="14" s="1"/>
  <c r="X62" i="14"/>
  <c r="Y61" i="14"/>
  <c r="Z61" i="14" s="1"/>
  <c r="X61" i="14"/>
  <c r="Y60" i="14"/>
  <c r="Z60" i="14" s="1"/>
  <c r="X60" i="14"/>
  <c r="Y59" i="14"/>
  <c r="Z59" i="14" s="1"/>
  <c r="X59" i="14"/>
  <c r="Y58" i="14"/>
  <c r="Z58" i="14" s="1"/>
  <c r="X58" i="14"/>
  <c r="Y57" i="14"/>
  <c r="Z57" i="14" s="1"/>
  <c r="X57" i="14"/>
  <c r="Y56" i="14"/>
  <c r="Z56" i="14" s="1"/>
  <c r="X56" i="14"/>
  <c r="Y55" i="14"/>
  <c r="Z55" i="14" s="1"/>
  <c r="X55" i="14"/>
  <c r="Y54" i="14"/>
  <c r="Z54" i="14" s="1"/>
  <c r="X54" i="14"/>
  <c r="Y52" i="14"/>
  <c r="Z52" i="14" s="1"/>
  <c r="X52" i="14"/>
  <c r="Y51" i="14"/>
  <c r="Z51" i="14" s="1"/>
  <c r="X51" i="14"/>
  <c r="Y48" i="14"/>
  <c r="Z48" i="14" s="1"/>
  <c r="X48" i="14"/>
  <c r="Y44" i="14"/>
  <c r="Z44" i="14" s="1"/>
  <c r="X44" i="14"/>
  <c r="Y40" i="14"/>
  <c r="Z40" i="14" s="1"/>
  <c r="X40" i="14"/>
  <c r="K40" i="14"/>
  <c r="L40" i="14"/>
  <c r="M40" i="14" s="1"/>
  <c r="K45" i="14"/>
  <c r="L45" i="14"/>
  <c r="M45" i="14" s="1"/>
  <c r="K47" i="14"/>
  <c r="L47" i="14"/>
  <c r="M47" i="14" s="1"/>
  <c r="K49" i="14"/>
  <c r="L49" i="14"/>
  <c r="M49" i="14" s="1"/>
  <c r="O20" i="18" l="1"/>
  <c r="Q10" i="18"/>
  <c r="Q9" i="18"/>
  <c r="F19" i="18"/>
  <c r="B42" i="18"/>
  <c r="BX39" i="18"/>
  <c r="BQ40" i="18"/>
  <c r="BX40" i="18" s="1"/>
  <c r="AJ39" i="18"/>
  <c r="BE39" i="18" s="1"/>
  <c r="BN40" i="18"/>
  <c r="AH41" i="18"/>
  <c r="BO40" i="18"/>
  <c r="BP40" i="18" s="1"/>
  <c r="AL44" i="18"/>
  <c r="BA44" i="18"/>
  <c r="AQ43" i="18"/>
  <c r="BO39" i="18"/>
  <c r="BB31" i="18"/>
  <c r="E21" i="14"/>
  <c r="BR40" i="18" l="1"/>
  <c r="BU40" i="18"/>
  <c r="AJ40" i="18"/>
  <c r="BB40" i="18" s="1"/>
  <c r="AM40" i="18" s="1"/>
  <c r="AQ44" i="18"/>
  <c r="BA45" i="18"/>
  <c r="AL45" i="18"/>
  <c r="BB39" i="18"/>
  <c r="AM39" i="18" s="1"/>
  <c r="C39" i="18" s="1"/>
  <c r="BV40" i="18"/>
  <c r="BV39" i="18"/>
  <c r="BP39" i="18"/>
  <c r="BR39" i="18" s="1"/>
  <c r="B43" i="18"/>
  <c r="BN41" i="18"/>
  <c r="AH42" i="18"/>
  <c r="BQ41" i="18"/>
  <c r="BO41" i="18"/>
  <c r="BP41" i="18" s="1"/>
  <c r="AL46" i="18" l="1"/>
  <c r="BX41" i="18"/>
  <c r="BV41" i="18"/>
  <c r="BO42" i="18"/>
  <c r="BP42" i="18" s="1"/>
  <c r="BN42" i="18"/>
  <c r="BU42" i="18" s="1"/>
  <c r="AH43" i="18"/>
  <c r="BQ42" i="18"/>
  <c r="BX42" i="18" s="1"/>
  <c r="BY39" i="18"/>
  <c r="BY40" i="18"/>
  <c r="B44" i="18"/>
  <c r="BE40" i="18"/>
  <c r="AJ41" i="18"/>
  <c r="BR41" i="18"/>
  <c r="BY41" i="18" s="1"/>
  <c r="BU41" i="18"/>
  <c r="BW39" i="18"/>
  <c r="BW40" i="18"/>
  <c r="BW41" i="18"/>
  <c r="AQ45" i="18"/>
  <c r="BA46" i="18"/>
  <c r="AR39" i="18"/>
  <c r="AX39" i="18" s="1"/>
  <c r="BJ39" i="14"/>
  <c r="AJ23" i="14"/>
  <c r="AJ22" i="14"/>
  <c r="BV42" i="18" l="1"/>
  <c r="L39" i="18"/>
  <c r="M39" i="18" s="1"/>
  <c r="K39" i="18"/>
  <c r="AR40" i="18"/>
  <c r="AX40" i="18" s="1"/>
  <c r="N40" i="18" s="1"/>
  <c r="BE41" i="18"/>
  <c r="AR41" i="18" s="1"/>
  <c r="AX41" i="18" s="1"/>
  <c r="N41" i="18" s="1"/>
  <c r="AJ42" i="18"/>
  <c r="BB41" i="18"/>
  <c r="AM41" i="18" s="1"/>
  <c r="BN43" i="18"/>
  <c r="AH44" i="18"/>
  <c r="BQ43" i="18"/>
  <c r="BO43" i="18"/>
  <c r="BR42" i="18"/>
  <c r="BW42" i="18"/>
  <c r="AL47" i="18"/>
  <c r="BA47" i="18"/>
  <c r="B45" i="18"/>
  <c r="N39" i="18"/>
  <c r="AQ46" i="18"/>
  <c r="BG39" i="14"/>
  <c r="BG40" i="14" s="1"/>
  <c r="BG41" i="14" s="1"/>
  <c r="BG42" i="14" s="1"/>
  <c r="BG43" i="14" s="1"/>
  <c r="BG44" i="14" s="1"/>
  <c r="BG45" i="14" s="1"/>
  <c r="BG46" i="14" s="1"/>
  <c r="BG47" i="14" s="1"/>
  <c r="BG48" i="14" s="1"/>
  <c r="BG49" i="14" s="1"/>
  <c r="BG50" i="14" s="1"/>
  <c r="BG51" i="14" s="1"/>
  <c r="BG52" i="14" s="1"/>
  <c r="BG53" i="14" s="1"/>
  <c r="BG54" i="14" s="1"/>
  <c r="BG55" i="14" s="1"/>
  <c r="BG56" i="14" s="1"/>
  <c r="BG57" i="14" s="1"/>
  <c r="BG58" i="14" s="1"/>
  <c r="BG59" i="14" s="1"/>
  <c r="BG60" i="14" s="1"/>
  <c r="BG61" i="14" s="1"/>
  <c r="BG62" i="14" s="1"/>
  <c r="BG63" i="14" s="1"/>
  <c r="BG64" i="14" s="1"/>
  <c r="BG65" i="14" s="1"/>
  <c r="BG66" i="14" s="1"/>
  <c r="BG67" i="14" s="1"/>
  <c r="BG68" i="14" s="1"/>
  <c r="BG69" i="14" s="1"/>
  <c r="BG70" i="14" s="1"/>
  <c r="BG71" i="14" s="1"/>
  <c r="BG72" i="14" s="1"/>
  <c r="BG73" i="14" s="1"/>
  <c r="BG74" i="14" s="1"/>
  <c r="BG75" i="14" s="1"/>
  <c r="BG76" i="14" s="1"/>
  <c r="BG77" i="14" s="1"/>
  <c r="BG78" i="14" s="1"/>
  <c r="BG79" i="14" s="1"/>
  <c r="BG80" i="14" s="1"/>
  <c r="BG81" i="14" s="1"/>
  <c r="BG82" i="14" s="1"/>
  <c r="BG83" i="14" s="1"/>
  <c r="BG84" i="14" s="1"/>
  <c r="BG85" i="14" s="1"/>
  <c r="BG86" i="14" s="1"/>
  <c r="BG87" i="14" s="1"/>
  <c r="BG88" i="14" s="1"/>
  <c r="BG89" i="14" s="1"/>
  <c r="BG90" i="14" s="1"/>
  <c r="BG91" i="14" s="1"/>
  <c r="BG92" i="14" s="1"/>
  <c r="BG93" i="14" s="1"/>
  <c r="BG94" i="14" s="1"/>
  <c r="BG95" i="14" s="1"/>
  <c r="BG96" i="14" s="1"/>
  <c r="BG97" i="14" s="1"/>
  <c r="BG98" i="14" s="1"/>
  <c r="BG99" i="14" s="1"/>
  <c r="BG100" i="14" s="1"/>
  <c r="BG101" i="14" s="1"/>
  <c r="BG102" i="14" s="1"/>
  <c r="BG103" i="14" s="1"/>
  <c r="BG104" i="14" s="1"/>
  <c r="BG105" i="14" s="1"/>
  <c r="BG106" i="14" s="1"/>
  <c r="BG107" i="14" s="1"/>
  <c r="BG108" i="14" s="1"/>
  <c r="BG109" i="14" s="1"/>
  <c r="BG110" i="14" s="1"/>
  <c r="BG111" i="14" s="1"/>
  <c r="BG112" i="14" s="1"/>
  <c r="BG113" i="14" s="1"/>
  <c r="BG114" i="14" s="1"/>
  <c r="BG115" i="14" s="1"/>
  <c r="BG116" i="14" s="1"/>
  <c r="BG117" i="14" s="1"/>
  <c r="BG118" i="14" s="1"/>
  <c r="BG119" i="14" s="1"/>
  <c r="BG120" i="14" s="1"/>
  <c r="BG121" i="14" s="1"/>
  <c r="BG122" i="14" s="1"/>
  <c r="BG123" i="14" s="1"/>
  <c r="BG124" i="14" s="1"/>
  <c r="BG125" i="14" s="1"/>
  <c r="BG126" i="14" s="1"/>
  <c r="BG127" i="14" s="1"/>
  <c r="BG128" i="14" s="1"/>
  <c r="BG129" i="14" s="1"/>
  <c r="BG130" i="14" s="1"/>
  <c r="BG131" i="14" s="1"/>
  <c r="BG132" i="14" s="1"/>
  <c r="BG133" i="14" s="1"/>
  <c r="BG134" i="14" s="1"/>
  <c r="BG135" i="14" s="1"/>
  <c r="BG136" i="14" s="1"/>
  <c r="BG137" i="14" s="1"/>
  <c r="BG138" i="14" s="1"/>
  <c r="BG139" i="14" s="1"/>
  <c r="BG140" i="14" s="1"/>
  <c r="BG141" i="14" s="1"/>
  <c r="BG142" i="14" s="1"/>
  <c r="BG143" i="14" s="1"/>
  <c r="BG144" i="14" s="1"/>
  <c r="BG145" i="14" s="1"/>
  <c r="BG146" i="14" s="1"/>
  <c r="BG147" i="14" s="1"/>
  <c r="BG148" i="14" s="1"/>
  <c r="BG149" i="14" s="1"/>
  <c r="BG150" i="14" s="1"/>
  <c r="BG151" i="14" s="1"/>
  <c r="BG152" i="14" s="1"/>
  <c r="BG153" i="14" s="1"/>
  <c r="BG154" i="14" s="1"/>
  <c r="BG155" i="14" s="1"/>
  <c r="BG156" i="14" s="1"/>
  <c r="BG157" i="14" s="1"/>
  <c r="BG158" i="14" s="1"/>
  <c r="AL48" i="18" l="1"/>
  <c r="BX43" i="18"/>
  <c r="AQ47" i="18"/>
  <c r="BO44" i="18"/>
  <c r="AH45" i="18"/>
  <c r="BQ44" i="18"/>
  <c r="BN44" i="18"/>
  <c r="BU44" i="18" s="1"/>
  <c r="BA48" i="18"/>
  <c r="B46" i="18"/>
  <c r="AJ43" i="18"/>
  <c r="BE42" i="18"/>
  <c r="BB42" i="18"/>
  <c r="AM42" i="18" s="1"/>
  <c r="BP43" i="18"/>
  <c r="BV43" i="18"/>
  <c r="BY42" i="18"/>
  <c r="BU43" i="18"/>
  <c r="AJ44" i="18" l="1"/>
  <c r="BE43" i="18"/>
  <c r="AR43" i="18" s="1"/>
  <c r="AX43" i="18" s="1"/>
  <c r="N43" i="18" s="1"/>
  <c r="BB43" i="18"/>
  <c r="AM43" i="18" s="1"/>
  <c r="BP44" i="18"/>
  <c r="BW44" i="18" s="1"/>
  <c r="AQ48" i="18"/>
  <c r="BW43" i="18"/>
  <c r="AL49" i="18"/>
  <c r="AH46" i="18"/>
  <c r="BO45" i="18"/>
  <c r="BQ45" i="18"/>
  <c r="BN45" i="18"/>
  <c r="BV44" i="18"/>
  <c r="B47" i="18"/>
  <c r="BA49" i="18"/>
  <c r="BR43" i="18"/>
  <c r="AR42" i="18"/>
  <c r="AX42" i="18" s="1"/>
  <c r="BX44" i="18"/>
  <c r="BR44" i="18" l="1"/>
  <c r="BY44" i="18" s="1"/>
  <c r="L42" i="18"/>
  <c r="K42" i="18"/>
  <c r="BP45" i="18"/>
  <c r="BR45" i="18" s="1"/>
  <c r="B48" i="18"/>
  <c r="BY43" i="18"/>
  <c r="BU45" i="18"/>
  <c r="AQ49" i="18"/>
  <c r="BX45" i="18"/>
  <c r="BV45" i="18"/>
  <c r="AH47" i="18"/>
  <c r="BO46" i="18"/>
  <c r="BV46" i="18" s="1"/>
  <c r="BQ46" i="18"/>
  <c r="BN46" i="18"/>
  <c r="BU46" i="18" s="1"/>
  <c r="BA50" i="18"/>
  <c r="N42" i="18"/>
  <c r="AL50" i="18"/>
  <c r="AJ45" i="18"/>
  <c r="BE44" i="18"/>
  <c r="BB44" i="18"/>
  <c r="AM44" i="18" s="1"/>
  <c r="M42" i="18" l="1"/>
  <c r="BW45" i="18"/>
  <c r="AJ46" i="18"/>
  <c r="BE45" i="18"/>
  <c r="AR45" i="18" s="1"/>
  <c r="AX45" i="18" s="1"/>
  <c r="N45" i="18" s="1"/>
  <c r="BB45" i="18"/>
  <c r="AM45" i="18" s="1"/>
  <c r="B49" i="18"/>
  <c r="BX46" i="18"/>
  <c r="AQ50" i="18"/>
  <c r="BN47" i="18"/>
  <c r="BQ47" i="18"/>
  <c r="BO47" i="18"/>
  <c r="AH48" i="18"/>
  <c r="BA51" i="18"/>
  <c r="AL51" i="18"/>
  <c r="BY45" i="18"/>
  <c r="AR44" i="18"/>
  <c r="AX44" i="18" s="1"/>
  <c r="BP46" i="18"/>
  <c r="BR46" i="18" s="1"/>
  <c r="BE27" i="14"/>
  <c r="BE29" i="14"/>
  <c r="BE28" i="14"/>
  <c r="S21" i="14"/>
  <c r="BB29" i="14" s="1"/>
  <c r="BB30" i="14"/>
  <c r="BB28" i="14"/>
  <c r="AV97" i="14"/>
  <c r="AV96" i="14"/>
  <c r="AV95" i="14"/>
  <c r="AV94" i="14"/>
  <c r="AV93" i="14"/>
  <c r="AV92" i="14"/>
  <c r="AV91" i="14"/>
  <c r="AV90" i="14"/>
  <c r="AV89" i="14"/>
  <c r="AV88" i="14"/>
  <c r="AV85" i="14"/>
  <c r="AV84" i="14"/>
  <c r="AV83" i="14"/>
  <c r="AV82" i="14"/>
  <c r="AV81" i="14"/>
  <c r="AV80" i="14"/>
  <c r="AV79" i="14"/>
  <c r="AV78" i="14"/>
  <c r="AV77" i="14"/>
  <c r="AV76" i="14"/>
  <c r="AV73" i="14"/>
  <c r="AV72" i="14"/>
  <c r="AV71" i="14"/>
  <c r="AV70" i="14"/>
  <c r="AV69" i="14"/>
  <c r="AV68" i="14"/>
  <c r="AV67" i="14"/>
  <c r="AV66" i="14"/>
  <c r="AV65" i="14"/>
  <c r="AV64" i="14"/>
  <c r="AV61" i="14"/>
  <c r="AV60" i="14"/>
  <c r="AV59" i="14"/>
  <c r="AV58" i="14"/>
  <c r="AV57" i="14"/>
  <c r="AV56" i="14"/>
  <c r="AV55" i="14"/>
  <c r="AV54" i="14"/>
  <c r="AV53" i="14"/>
  <c r="AV52" i="14"/>
  <c r="AV49" i="14"/>
  <c r="AV48" i="14"/>
  <c r="AV47" i="14"/>
  <c r="AV46" i="14"/>
  <c r="AV45" i="14"/>
  <c r="AV44" i="14"/>
  <c r="AV43" i="14"/>
  <c r="AV42" i="14"/>
  <c r="AV41" i="14"/>
  <c r="AV40" i="14"/>
  <c r="AG40" i="14"/>
  <c r="B40" i="14"/>
  <c r="B41" i="14" s="1"/>
  <c r="B42" i="14" s="1"/>
  <c r="B43" i="14" s="1"/>
  <c r="BD39" i="14"/>
  <c r="BA39" i="14"/>
  <c r="AV39" i="14"/>
  <c r="AQ39" i="14"/>
  <c r="AI39" i="14"/>
  <c r="AH39" i="14"/>
  <c r="BV30" i="14"/>
  <c r="BP28" i="14"/>
  <c r="J19" i="14"/>
  <c r="E9" i="14"/>
  <c r="O17" i="14"/>
  <c r="BA52" i="18" l="1"/>
  <c r="BO48" i="18"/>
  <c r="BN48" i="18"/>
  <c r="BQ48" i="18"/>
  <c r="BX48" i="18" s="1"/>
  <c r="AH49" i="18"/>
  <c r="BX47" i="18"/>
  <c r="BU47" i="18"/>
  <c r="BW46" i="18"/>
  <c r="AQ51" i="18"/>
  <c r="BY46" i="18"/>
  <c r="B50" i="18"/>
  <c r="BE46" i="18"/>
  <c r="AR46" i="18" s="1"/>
  <c r="AX46" i="18" s="1"/>
  <c r="N46" i="18" s="1"/>
  <c r="AJ47" i="18"/>
  <c r="BB46" i="18"/>
  <c r="AM46" i="18" s="1"/>
  <c r="BP47" i="18"/>
  <c r="BR47" i="18" s="1"/>
  <c r="BY47" i="18" s="1"/>
  <c r="BV47" i="18"/>
  <c r="AL52" i="18"/>
  <c r="N44" i="18"/>
  <c r="BD40" i="14"/>
  <c r="BB26" i="14"/>
  <c r="BB27" i="14"/>
  <c r="G23" i="14"/>
  <c r="BQ39" i="14"/>
  <c r="BX39" i="14" s="1"/>
  <c r="AQ40" i="14"/>
  <c r="AH40" i="14"/>
  <c r="E19" i="14"/>
  <c r="R102" i="14" s="1"/>
  <c r="AG41" i="14"/>
  <c r="AG42" i="14" s="1"/>
  <c r="AG43" i="14" s="1"/>
  <c r="AG44" i="14" s="1"/>
  <c r="AG45" i="14" s="1"/>
  <c r="AG46" i="14" s="1"/>
  <c r="AG47" i="14" s="1"/>
  <c r="AG48" i="14" s="1"/>
  <c r="AG49" i="14" s="1"/>
  <c r="AG50" i="14" s="1"/>
  <c r="AG51" i="14" s="1"/>
  <c r="AG52" i="14" s="1"/>
  <c r="AG53" i="14" s="1"/>
  <c r="AG54" i="14" s="1"/>
  <c r="AG55" i="14" s="1"/>
  <c r="AG56" i="14" s="1"/>
  <c r="AG57" i="14" s="1"/>
  <c r="AG58" i="14" s="1"/>
  <c r="AG59" i="14" s="1"/>
  <c r="AG60" i="14" s="1"/>
  <c r="AG61" i="14" s="1"/>
  <c r="AG62" i="14" s="1"/>
  <c r="AG63" i="14" s="1"/>
  <c r="AG64" i="14" s="1"/>
  <c r="AG65" i="14" s="1"/>
  <c r="AG66" i="14" s="1"/>
  <c r="AG67" i="14" s="1"/>
  <c r="AG68" i="14" s="1"/>
  <c r="AG69" i="14" s="1"/>
  <c r="AG70" i="14" s="1"/>
  <c r="AG71" i="14" s="1"/>
  <c r="AG72" i="14" s="1"/>
  <c r="AG73" i="14" s="1"/>
  <c r="AG74" i="14" s="1"/>
  <c r="AG75" i="14" s="1"/>
  <c r="AG76" i="14" s="1"/>
  <c r="AG77" i="14" s="1"/>
  <c r="AG78" i="14" s="1"/>
  <c r="AG79" i="14" s="1"/>
  <c r="AG80" i="14" s="1"/>
  <c r="AG81" i="14" s="1"/>
  <c r="AG82" i="14" s="1"/>
  <c r="AG83" i="14" s="1"/>
  <c r="AG84" i="14" s="1"/>
  <c r="AG85" i="14" s="1"/>
  <c r="AG86" i="14" s="1"/>
  <c r="AG87" i="14" s="1"/>
  <c r="AG88" i="14" s="1"/>
  <c r="AG89" i="14" s="1"/>
  <c r="AG90" i="14" s="1"/>
  <c r="AG91" i="14" s="1"/>
  <c r="AG92" i="14" s="1"/>
  <c r="AG93" i="14" s="1"/>
  <c r="AG94" i="14" s="1"/>
  <c r="AG95" i="14" s="1"/>
  <c r="AG96" i="14" s="1"/>
  <c r="AG97" i="14" s="1"/>
  <c r="AG98" i="14" s="1"/>
  <c r="B44" i="14"/>
  <c r="AI40" i="14"/>
  <c r="AI41" i="14" s="1"/>
  <c r="AI42" i="14" s="1"/>
  <c r="AI43" i="14" s="1"/>
  <c r="AI44" i="14" s="1"/>
  <c r="AI45" i="14" s="1"/>
  <c r="AI46" i="14" s="1"/>
  <c r="AI47" i="14" s="1"/>
  <c r="AI48" i="14" s="1"/>
  <c r="AI49" i="14" s="1"/>
  <c r="AI50" i="14" s="1"/>
  <c r="AI51" i="14" s="1"/>
  <c r="AI52" i="14" s="1"/>
  <c r="AI53" i="14" s="1"/>
  <c r="AI54" i="14" s="1"/>
  <c r="AI55" i="14" s="1"/>
  <c r="AI56" i="14" s="1"/>
  <c r="AI57" i="14" s="1"/>
  <c r="AI58" i="14" s="1"/>
  <c r="AI59" i="14" s="1"/>
  <c r="AI60" i="14" s="1"/>
  <c r="AI61" i="14" s="1"/>
  <c r="AI62" i="14" s="1"/>
  <c r="AI63" i="14" s="1"/>
  <c r="AI64" i="14" s="1"/>
  <c r="AI65" i="14" s="1"/>
  <c r="AI66" i="14" s="1"/>
  <c r="AI67" i="14" s="1"/>
  <c r="AI68" i="14" s="1"/>
  <c r="AI69" i="14" s="1"/>
  <c r="AI70" i="14" s="1"/>
  <c r="AI71" i="14" s="1"/>
  <c r="AI72" i="14" s="1"/>
  <c r="AI73" i="14" s="1"/>
  <c r="AI74" i="14" s="1"/>
  <c r="AI75" i="14" s="1"/>
  <c r="AI76" i="14" s="1"/>
  <c r="AI77" i="14" s="1"/>
  <c r="AI78" i="14" s="1"/>
  <c r="AI79" i="14" s="1"/>
  <c r="AI80" i="14" s="1"/>
  <c r="AI81" i="14" s="1"/>
  <c r="AI82" i="14" s="1"/>
  <c r="AI83" i="14" s="1"/>
  <c r="AI84" i="14" s="1"/>
  <c r="AI85" i="14" s="1"/>
  <c r="AI86" i="14" s="1"/>
  <c r="AI87" i="14" s="1"/>
  <c r="AI88" i="14" s="1"/>
  <c r="AI89" i="14" s="1"/>
  <c r="AI90" i="14" s="1"/>
  <c r="AI91" i="14" s="1"/>
  <c r="AI92" i="14" s="1"/>
  <c r="AI93" i="14" s="1"/>
  <c r="AI94" i="14" s="1"/>
  <c r="AI95" i="14" s="1"/>
  <c r="AI96" i="14" s="1"/>
  <c r="AI97" i="14" s="1"/>
  <c r="AI98" i="14" s="1"/>
  <c r="AI99" i="14" s="1"/>
  <c r="AI100" i="14" s="1"/>
  <c r="AI101" i="14" s="1"/>
  <c r="AI102" i="14" s="1"/>
  <c r="AI103" i="14" s="1"/>
  <c r="AI104" i="14" s="1"/>
  <c r="AI105" i="14" s="1"/>
  <c r="AI106" i="14" s="1"/>
  <c r="AI107" i="14" s="1"/>
  <c r="AI108" i="14" s="1"/>
  <c r="AI109" i="14" s="1"/>
  <c r="AI110" i="14" s="1"/>
  <c r="AI111" i="14" s="1"/>
  <c r="AI112" i="14" s="1"/>
  <c r="AI113" i="14" s="1"/>
  <c r="AI114" i="14" s="1"/>
  <c r="AI115" i="14" s="1"/>
  <c r="AI116" i="14" s="1"/>
  <c r="AI117" i="14" s="1"/>
  <c r="AI118" i="14" s="1"/>
  <c r="AI119" i="14" s="1"/>
  <c r="AI120" i="14" s="1"/>
  <c r="AI121" i="14" s="1"/>
  <c r="AI122" i="14" s="1"/>
  <c r="AI123" i="14" s="1"/>
  <c r="AI124" i="14" s="1"/>
  <c r="AI125" i="14" s="1"/>
  <c r="AI126" i="14" s="1"/>
  <c r="AI127" i="14" s="1"/>
  <c r="AI128" i="14" s="1"/>
  <c r="AI129" i="14" s="1"/>
  <c r="AI130" i="14" s="1"/>
  <c r="AI131" i="14" s="1"/>
  <c r="AI132" i="14" s="1"/>
  <c r="AI133" i="14" s="1"/>
  <c r="AI134" i="14" s="1"/>
  <c r="AI135" i="14" s="1"/>
  <c r="AI136" i="14" s="1"/>
  <c r="AI137" i="14" s="1"/>
  <c r="AI138" i="14" s="1"/>
  <c r="AI139" i="14" s="1"/>
  <c r="AI140" i="14" s="1"/>
  <c r="AI141" i="14" s="1"/>
  <c r="AI142" i="14" s="1"/>
  <c r="AI143" i="14" s="1"/>
  <c r="AI144" i="14" s="1"/>
  <c r="AI145" i="14" s="1"/>
  <c r="AI146" i="14" s="1"/>
  <c r="AI147" i="14" s="1"/>
  <c r="AI148" i="14" s="1"/>
  <c r="AI149" i="14" s="1"/>
  <c r="AI150" i="14" s="1"/>
  <c r="AI151" i="14" s="1"/>
  <c r="AI152" i="14" s="1"/>
  <c r="AI153" i="14" s="1"/>
  <c r="AI154" i="14" s="1"/>
  <c r="AI155" i="14" s="1"/>
  <c r="AI156" i="14" s="1"/>
  <c r="AI157" i="14" s="1"/>
  <c r="AI158" i="14" s="1"/>
  <c r="BN39" i="14"/>
  <c r="AL39" i="14"/>
  <c r="BA40" i="14"/>
  <c r="BW47" i="18" l="1"/>
  <c r="AQ52" i="18"/>
  <c r="BU48" i="18"/>
  <c r="AL53" i="18"/>
  <c r="BE47" i="18"/>
  <c r="AR47" i="18" s="1"/>
  <c r="AX47" i="18" s="1"/>
  <c r="AJ48" i="18"/>
  <c r="BB47" i="18"/>
  <c r="AM47" i="18" s="1"/>
  <c r="BN49" i="18"/>
  <c r="BO49" i="18"/>
  <c r="AH50" i="18"/>
  <c r="BQ49" i="18"/>
  <c r="BX49" i="18" s="1"/>
  <c r="BA53" i="18"/>
  <c r="B51" i="18"/>
  <c r="BP48" i="18"/>
  <c r="BR48" i="18" s="1"/>
  <c r="BY48" i="18" s="1"/>
  <c r="BV48" i="18"/>
  <c r="BD41" i="14"/>
  <c r="BB31" i="14"/>
  <c r="BO39" i="14"/>
  <c r="BV39" i="14" s="1"/>
  <c r="BA41" i="14"/>
  <c r="BQ40" i="14"/>
  <c r="BX40" i="14" s="1"/>
  <c r="AQ41" i="14"/>
  <c r="BO40" i="14"/>
  <c r="BN40" i="14"/>
  <c r="BU40" i="14" s="1"/>
  <c r="AH41" i="14"/>
  <c r="BO41" i="14" s="1"/>
  <c r="B45" i="14"/>
  <c r="O19" i="14"/>
  <c r="BU39" i="14"/>
  <c r="AL40" i="14"/>
  <c r="B52" i="18" l="1"/>
  <c r="BP49" i="18"/>
  <c r="BV49" i="18"/>
  <c r="BA54" i="18"/>
  <c r="BO50" i="18"/>
  <c r="BN50" i="18"/>
  <c r="AH51" i="18"/>
  <c r="BQ50" i="18"/>
  <c r="BX50" i="18" s="1"/>
  <c r="BU49" i="18"/>
  <c r="AJ49" i="18"/>
  <c r="BE48" i="18"/>
  <c r="AR48" i="18" s="1"/>
  <c r="AX48" i="18" s="1"/>
  <c r="N48" i="18" s="1"/>
  <c r="BB48" i="18"/>
  <c r="AM48" i="18" s="1"/>
  <c r="N47" i="18"/>
  <c r="AL54" i="18"/>
  <c r="AQ53" i="18"/>
  <c r="BW48" i="18"/>
  <c r="BD42" i="14"/>
  <c r="BP39" i="14"/>
  <c r="BW39" i="14" s="1"/>
  <c r="BA42" i="14"/>
  <c r="BP40" i="14"/>
  <c r="BP41" i="14"/>
  <c r="BQ41" i="14"/>
  <c r="BX41" i="14" s="1"/>
  <c r="AQ42" i="14"/>
  <c r="BV40" i="14"/>
  <c r="BN41" i="14"/>
  <c r="AH42" i="14"/>
  <c r="BO42" i="14" s="1"/>
  <c r="BV41" i="14"/>
  <c r="AL41" i="14"/>
  <c r="B46" i="14"/>
  <c r="BW49" i="18" l="1"/>
  <c r="BN51" i="18"/>
  <c r="BQ51" i="18"/>
  <c r="BO51" i="18"/>
  <c r="AH52" i="18"/>
  <c r="B53" i="18"/>
  <c r="BA55" i="18"/>
  <c r="BE49" i="18"/>
  <c r="AR49" i="18" s="1"/>
  <c r="AX49" i="18" s="1"/>
  <c r="N49" i="18" s="1"/>
  <c r="AJ50" i="18"/>
  <c r="BB49" i="18"/>
  <c r="AM49" i="18" s="1"/>
  <c r="BR49" i="18"/>
  <c r="BY49" i="18" s="1"/>
  <c r="AQ54" i="18"/>
  <c r="BU50" i="18"/>
  <c r="AL55" i="18"/>
  <c r="BP50" i="18"/>
  <c r="BW50" i="18" s="1"/>
  <c r="BV50" i="18"/>
  <c r="BD43" i="14"/>
  <c r="BR39" i="14"/>
  <c r="BY39" i="14" s="1"/>
  <c r="BW40" i="14"/>
  <c r="BA43" i="14"/>
  <c r="BW41" i="14"/>
  <c r="BR40" i="14"/>
  <c r="BR41" i="14"/>
  <c r="AH43" i="14"/>
  <c r="BO43" i="14" s="1"/>
  <c r="BQ42" i="14"/>
  <c r="BX42" i="14" s="1"/>
  <c r="AQ43" i="14"/>
  <c r="BU41" i="14"/>
  <c r="BN42" i="14"/>
  <c r="BU42" i="14" s="1"/>
  <c r="B47" i="14"/>
  <c r="BP42" i="14"/>
  <c r="BV42" i="14"/>
  <c r="AL42" i="14"/>
  <c r="BX51" i="18" l="1"/>
  <c r="B54" i="18"/>
  <c r="AH53" i="18"/>
  <c r="BQ52" i="18"/>
  <c r="BX52" i="18" s="1"/>
  <c r="BO52" i="18"/>
  <c r="BN52" i="18"/>
  <c r="BP51" i="18"/>
  <c r="BW51" i="18" s="1"/>
  <c r="BV51" i="18"/>
  <c r="BU51" i="18"/>
  <c r="BA56" i="18"/>
  <c r="BE50" i="18"/>
  <c r="AR50" i="18" s="1"/>
  <c r="AX50" i="18" s="1"/>
  <c r="N50" i="18" s="1"/>
  <c r="AJ51" i="18"/>
  <c r="BB50" i="18"/>
  <c r="AM50" i="18" s="1"/>
  <c r="AL56" i="18"/>
  <c r="BR50" i="18"/>
  <c r="BY50" i="18" s="1"/>
  <c r="AQ55" i="18"/>
  <c r="BD44" i="14"/>
  <c r="BY40" i="14"/>
  <c r="BA44" i="14"/>
  <c r="BY41" i="14"/>
  <c r="BV43" i="14"/>
  <c r="BN43" i="14"/>
  <c r="BQ43" i="14"/>
  <c r="BX43" i="14" s="1"/>
  <c r="AH44" i="14"/>
  <c r="BO44" i="14" s="1"/>
  <c r="AQ44" i="14"/>
  <c r="BP43" i="14"/>
  <c r="B48" i="14"/>
  <c r="AL43" i="14"/>
  <c r="BW42" i="14"/>
  <c r="BR42" i="14"/>
  <c r="AL57" i="18" l="1"/>
  <c r="BU52" i="18"/>
  <c r="BP52" i="18"/>
  <c r="BW52" i="18" s="1"/>
  <c r="BV52" i="18"/>
  <c r="BE51" i="18"/>
  <c r="AR51" i="18" s="1"/>
  <c r="AX51" i="18" s="1"/>
  <c r="AJ52" i="18"/>
  <c r="BB51" i="18"/>
  <c r="AM51" i="18" s="1"/>
  <c r="BN53" i="18"/>
  <c r="BO53" i="18"/>
  <c r="AH54" i="18"/>
  <c r="BQ53" i="18"/>
  <c r="BA57" i="18"/>
  <c r="B55" i="18"/>
  <c r="AQ56" i="18"/>
  <c r="BR51" i="18"/>
  <c r="BY51" i="18" s="1"/>
  <c r="BD45" i="14"/>
  <c r="BA45" i="14"/>
  <c r="BN44" i="14"/>
  <c r="BU44" i="14" s="1"/>
  <c r="AH45" i="14"/>
  <c r="BO45" i="14" s="1"/>
  <c r="BQ44" i="14"/>
  <c r="BX44" i="14" s="1"/>
  <c r="BU43" i="14"/>
  <c r="AQ45" i="14"/>
  <c r="BR43" i="14"/>
  <c r="BY43" i="14" s="1"/>
  <c r="BW43" i="14"/>
  <c r="B49" i="14"/>
  <c r="BP44" i="14"/>
  <c r="BV44" i="14"/>
  <c r="AL44" i="14"/>
  <c r="BY42" i="14"/>
  <c r="G18" i="18" l="1"/>
  <c r="BO30" i="18"/>
  <c r="BP30" i="18" s="1"/>
  <c r="BR30" i="18" s="1"/>
  <c r="N51" i="18"/>
  <c r="K51" i="18"/>
  <c r="L51" i="18"/>
  <c r="BX53" i="18"/>
  <c r="B56" i="18"/>
  <c r="BA58" i="18"/>
  <c r="BR52" i="18"/>
  <c r="BY52" i="18" s="1"/>
  <c r="BP53" i="18"/>
  <c r="BW53" i="18" s="1"/>
  <c r="BV53" i="18"/>
  <c r="G17" i="18" s="1"/>
  <c r="BU53" i="18"/>
  <c r="AL58" i="18"/>
  <c r="AH55" i="18"/>
  <c r="BO54" i="18"/>
  <c r="BN54" i="18"/>
  <c r="BQ54" i="18"/>
  <c r="BX54" i="18" s="1"/>
  <c r="AQ57" i="18"/>
  <c r="BE52" i="18"/>
  <c r="AR52" i="18" s="1"/>
  <c r="AX52" i="18" s="1"/>
  <c r="N52" i="18" s="1"/>
  <c r="AJ53" i="18"/>
  <c r="BB52" i="18"/>
  <c r="AM52" i="18" s="1"/>
  <c r="BD46" i="14"/>
  <c r="BA46" i="14"/>
  <c r="BR44" i="14"/>
  <c r="BY44" i="14" s="1"/>
  <c r="BV45" i="14"/>
  <c r="AH46" i="14"/>
  <c r="BO46" i="14" s="1"/>
  <c r="BN45" i="14"/>
  <c r="BU45" i="14" s="1"/>
  <c r="BQ45" i="14"/>
  <c r="BX45" i="14" s="1"/>
  <c r="AQ46" i="14"/>
  <c r="BP45" i="14"/>
  <c r="B50" i="14"/>
  <c r="AL45" i="14"/>
  <c r="BW44" i="14"/>
  <c r="G19" i="18" l="1"/>
  <c r="H17" i="18"/>
  <c r="H18" i="18"/>
  <c r="K18" i="18" s="1"/>
  <c r="K22" i="18" s="1"/>
  <c r="M51" i="18"/>
  <c r="AJ54" i="18"/>
  <c r="BE53" i="18"/>
  <c r="AR53" i="18" s="1"/>
  <c r="AX53" i="18" s="1"/>
  <c r="N53" i="18" s="1"/>
  <c r="BB53" i="18"/>
  <c r="AM53" i="18" s="1"/>
  <c r="BA59" i="18"/>
  <c r="BP54" i="18"/>
  <c r="BW54" i="18" s="1"/>
  <c r="BV54" i="18"/>
  <c r="AQ58" i="18"/>
  <c r="BU54" i="18"/>
  <c r="BQ55" i="18"/>
  <c r="BO55" i="18"/>
  <c r="AH56" i="18"/>
  <c r="BN55" i="18"/>
  <c r="B57" i="18"/>
  <c r="AL59" i="18"/>
  <c r="BR53" i="18"/>
  <c r="BY53" i="18" s="1"/>
  <c r="BD47" i="14"/>
  <c r="BA47" i="14"/>
  <c r="AH47" i="14"/>
  <c r="BO47" i="14" s="1"/>
  <c r="BN46" i="14"/>
  <c r="BU46" i="14" s="1"/>
  <c r="BQ46" i="14"/>
  <c r="BX46" i="14" s="1"/>
  <c r="AQ47" i="14"/>
  <c r="BP46" i="14"/>
  <c r="BV46" i="14"/>
  <c r="AL46" i="14"/>
  <c r="BW45" i="14"/>
  <c r="B51" i="14"/>
  <c r="BR45" i="14"/>
  <c r="H19" i="18" l="1"/>
  <c r="BX55" i="18"/>
  <c r="BR54" i="18"/>
  <c r="BY54" i="18" s="1"/>
  <c r="AL60" i="18"/>
  <c r="BU55" i="18"/>
  <c r="BQ56" i="18"/>
  <c r="BO56" i="18"/>
  <c r="AH57" i="18"/>
  <c r="BN56" i="18"/>
  <c r="AQ59" i="18"/>
  <c r="B58" i="18"/>
  <c r="BA60" i="18"/>
  <c r="BP55" i="18"/>
  <c r="BW55" i="18" s="1"/>
  <c r="BV55" i="18"/>
  <c r="BE54" i="18"/>
  <c r="AR54" i="18" s="1"/>
  <c r="AX54" i="18" s="1"/>
  <c r="N54" i="18" s="1"/>
  <c r="AJ55" i="18"/>
  <c r="BB54" i="18"/>
  <c r="AM54" i="18" s="1"/>
  <c r="BD48" i="14"/>
  <c r="BA48" i="14"/>
  <c r="BQ47" i="14"/>
  <c r="BX47" i="14" s="1"/>
  <c r="BV47" i="14"/>
  <c r="BR46" i="14"/>
  <c r="BY46" i="14" s="1"/>
  <c r="AH48" i="14"/>
  <c r="BO48" i="14" s="1"/>
  <c r="BN47" i="14"/>
  <c r="BU47" i="14" s="1"/>
  <c r="AQ48" i="14"/>
  <c r="B52" i="14"/>
  <c r="BP47" i="14"/>
  <c r="AL47" i="14"/>
  <c r="BY45" i="14"/>
  <c r="BW46" i="14"/>
  <c r="BX56" i="18" l="1"/>
  <c r="AQ60" i="18"/>
  <c r="BN57" i="18"/>
  <c r="AH58" i="18"/>
  <c r="BO57" i="18"/>
  <c r="BQ57" i="18"/>
  <c r="AJ56" i="18"/>
  <c r="BE55" i="18"/>
  <c r="AR55" i="18" s="1"/>
  <c r="AX55" i="18" s="1"/>
  <c r="N55" i="18" s="1"/>
  <c r="BB55" i="18"/>
  <c r="AM55" i="18" s="1"/>
  <c r="BU56" i="18"/>
  <c r="BA61" i="18"/>
  <c r="BP56" i="18"/>
  <c r="BW56" i="18" s="1"/>
  <c r="BV56" i="18"/>
  <c r="BR55" i="18"/>
  <c r="BY55" i="18" s="1"/>
  <c r="B59" i="18"/>
  <c r="AL61" i="18"/>
  <c r="BD49" i="14"/>
  <c r="BA49" i="14"/>
  <c r="BQ48" i="14"/>
  <c r="BX48" i="14" s="1"/>
  <c r="BN48" i="14"/>
  <c r="BU48" i="14" s="1"/>
  <c r="AH49" i="14"/>
  <c r="BO49" i="14" s="1"/>
  <c r="AQ49" i="14"/>
  <c r="B53" i="14"/>
  <c r="BW47" i="14"/>
  <c r="BR47" i="14"/>
  <c r="BP48" i="14"/>
  <c r="BV48" i="14"/>
  <c r="AL48" i="14"/>
  <c r="BX57" i="18" l="1"/>
  <c r="BR56" i="18"/>
  <c r="BY56" i="18" s="1"/>
  <c r="BE56" i="18"/>
  <c r="AR56" i="18" s="1"/>
  <c r="AX56" i="18" s="1"/>
  <c r="N56" i="18" s="1"/>
  <c r="AJ57" i="18"/>
  <c r="BB56" i="18"/>
  <c r="AM56" i="18" s="1"/>
  <c r="BU57" i="18"/>
  <c r="BA62" i="18"/>
  <c r="B60" i="18"/>
  <c r="AL62" i="18"/>
  <c r="BP57" i="18"/>
  <c r="BW57" i="18" s="1"/>
  <c r="BV57" i="18"/>
  <c r="BN58" i="18"/>
  <c r="BO58" i="18"/>
  <c r="AH59" i="18"/>
  <c r="BQ58" i="18"/>
  <c r="AQ61" i="18"/>
  <c r="BD50" i="14"/>
  <c r="BA50" i="14"/>
  <c r="BN49" i="14"/>
  <c r="BU49" i="14" s="1"/>
  <c r="BQ49" i="14"/>
  <c r="BX49" i="14" s="1"/>
  <c r="AH50" i="14"/>
  <c r="BO50" i="14" s="1"/>
  <c r="AQ50" i="14"/>
  <c r="BW48" i="14"/>
  <c r="BP49" i="14"/>
  <c r="BW49" i="14" s="1"/>
  <c r="BV49" i="14"/>
  <c r="B54" i="14"/>
  <c r="AL49" i="14"/>
  <c r="BR48" i="14"/>
  <c r="BY48" i="14" s="1"/>
  <c r="BY47" i="14"/>
  <c r="BX58" i="18" l="1"/>
  <c r="BN59" i="18"/>
  <c r="BQ59" i="18"/>
  <c r="BX59" i="18" s="1"/>
  <c r="BO59" i="18"/>
  <c r="AH60" i="18"/>
  <c r="AQ62" i="18"/>
  <c r="BU58" i="18"/>
  <c r="B61" i="18"/>
  <c r="BP58" i="18"/>
  <c r="BW58" i="18" s="1"/>
  <c r="BV58" i="18"/>
  <c r="BA63" i="18"/>
  <c r="AL63" i="18"/>
  <c r="BR57" i="18"/>
  <c r="BY57" i="18" s="1"/>
  <c r="BE57" i="18"/>
  <c r="AR57" i="18" s="1"/>
  <c r="AX57" i="18" s="1"/>
  <c r="N57" i="18" s="1"/>
  <c r="AJ58" i="18"/>
  <c r="BB57" i="18"/>
  <c r="AM57" i="18" s="1"/>
  <c r="AH51" i="14"/>
  <c r="BO51" i="14" s="1"/>
  <c r="BD51" i="14"/>
  <c r="BA51" i="14"/>
  <c r="BQ50" i="14"/>
  <c r="BX50" i="14" s="1"/>
  <c r="BN50" i="14"/>
  <c r="BU50" i="14" s="1"/>
  <c r="AQ51" i="14"/>
  <c r="B55" i="14"/>
  <c r="BP50" i="14"/>
  <c r="BW50" i="14" s="1"/>
  <c r="BV50" i="14"/>
  <c r="BR49" i="14"/>
  <c r="BY49" i="14" s="1"/>
  <c r="AL50" i="14"/>
  <c r="BR58" i="18" l="1"/>
  <c r="BY58" i="18" s="1"/>
  <c r="B62" i="18"/>
  <c r="AL64" i="18"/>
  <c r="AQ63" i="18"/>
  <c r="BP59" i="18"/>
  <c r="BW59" i="18" s="1"/>
  <c r="BV59" i="18"/>
  <c r="BA64" i="18"/>
  <c r="BE58" i="18"/>
  <c r="AR58" i="18" s="1"/>
  <c r="AX58" i="18" s="1"/>
  <c r="N58" i="18" s="1"/>
  <c r="AJ59" i="18"/>
  <c r="BB58" i="18"/>
  <c r="AM58" i="18" s="1"/>
  <c r="AH61" i="18"/>
  <c r="BQ60" i="18"/>
  <c r="BX60" i="18" s="1"/>
  <c r="BN60" i="18"/>
  <c r="BO60" i="18"/>
  <c r="BU59" i="18"/>
  <c r="BN51" i="14"/>
  <c r="BU51" i="14" s="1"/>
  <c r="AH52" i="14"/>
  <c r="BO52" i="14" s="1"/>
  <c r="BQ51" i="14"/>
  <c r="BX51" i="14" s="1"/>
  <c r="BD52" i="14"/>
  <c r="BA52" i="14"/>
  <c r="AQ52" i="14"/>
  <c r="BR50" i="14"/>
  <c r="BY50" i="14" s="1"/>
  <c r="BP51" i="14"/>
  <c r="BV51" i="14"/>
  <c r="AL51" i="14"/>
  <c r="B56" i="14"/>
  <c r="BE59" i="18" l="1"/>
  <c r="AR59" i="18" s="1"/>
  <c r="AX59" i="18" s="1"/>
  <c r="N59" i="18" s="1"/>
  <c r="AJ60" i="18"/>
  <c r="BB59" i="18"/>
  <c r="AM59" i="18" s="1"/>
  <c r="AH62" i="18"/>
  <c r="BQ61" i="18"/>
  <c r="BX61" i="18" s="1"/>
  <c r="BO61" i="18"/>
  <c r="BN61" i="18"/>
  <c r="BR59" i="18"/>
  <c r="BY59" i="18" s="1"/>
  <c r="BP60" i="18"/>
  <c r="BW60" i="18" s="1"/>
  <c r="BV60" i="18"/>
  <c r="BU60" i="18"/>
  <c r="AQ64" i="18"/>
  <c r="AL65" i="18"/>
  <c r="BA65" i="18"/>
  <c r="B63" i="18"/>
  <c r="BN52" i="14"/>
  <c r="BU52" i="14" s="1"/>
  <c r="AH53" i="14"/>
  <c r="BO53" i="14" s="1"/>
  <c r="BQ52" i="14"/>
  <c r="BX52" i="14" s="1"/>
  <c r="BD53" i="14"/>
  <c r="BA53" i="14"/>
  <c r="BW51" i="14"/>
  <c r="AQ53" i="14"/>
  <c r="B57" i="14"/>
  <c r="BP52" i="14"/>
  <c r="BV52" i="14"/>
  <c r="AL52" i="14"/>
  <c r="BR51" i="14"/>
  <c r="BY51" i="14" s="1"/>
  <c r="BR60" i="18" l="1"/>
  <c r="BY60" i="18" s="1"/>
  <c r="AL66" i="18"/>
  <c r="BU61" i="18"/>
  <c r="BP61" i="18"/>
  <c r="BW61" i="18" s="1"/>
  <c r="BV61" i="18"/>
  <c r="BA66" i="18"/>
  <c r="BQ62" i="18"/>
  <c r="BX62" i="18" s="1"/>
  <c r="AH63" i="18"/>
  <c r="BO62" i="18"/>
  <c r="BN62" i="18"/>
  <c r="BE60" i="18"/>
  <c r="AR60" i="18" s="1"/>
  <c r="AX60" i="18" s="1"/>
  <c r="N60" i="18" s="1"/>
  <c r="AJ61" i="18"/>
  <c r="BB60" i="18"/>
  <c r="AM60" i="18" s="1"/>
  <c r="B64" i="18"/>
  <c r="AQ65" i="18"/>
  <c r="BN53" i="14"/>
  <c r="BU53" i="14" s="1"/>
  <c r="BQ53" i="14"/>
  <c r="BX53" i="14" s="1"/>
  <c r="AH54" i="14"/>
  <c r="BO54" i="14" s="1"/>
  <c r="BD54" i="14"/>
  <c r="BA54" i="14"/>
  <c r="BW52" i="14"/>
  <c r="AQ54" i="14"/>
  <c r="BR52" i="14"/>
  <c r="BY52" i="14" s="1"/>
  <c r="B58" i="14"/>
  <c r="BP53" i="14"/>
  <c r="BV53" i="14"/>
  <c r="AL53" i="14"/>
  <c r="BP62" i="18" l="1"/>
  <c r="BW62" i="18" s="1"/>
  <c r="BV62" i="18"/>
  <c r="AQ66" i="18"/>
  <c r="BQ63" i="18"/>
  <c r="BX63" i="18" s="1"/>
  <c r="BO63" i="18"/>
  <c r="BN63" i="18"/>
  <c r="AH64" i="18"/>
  <c r="BA67" i="18"/>
  <c r="B65" i="18"/>
  <c r="BE61" i="18"/>
  <c r="AR61" i="18" s="1"/>
  <c r="AX61" i="18" s="1"/>
  <c r="N61" i="18" s="1"/>
  <c r="AJ62" i="18"/>
  <c r="BB61" i="18"/>
  <c r="AM61" i="18" s="1"/>
  <c r="BR61" i="18"/>
  <c r="BY61" i="18" s="1"/>
  <c r="BU62" i="18"/>
  <c r="AL67" i="18"/>
  <c r="BN54" i="14"/>
  <c r="BU54" i="14" s="1"/>
  <c r="AH55" i="14"/>
  <c r="BO55" i="14" s="1"/>
  <c r="BQ54" i="14"/>
  <c r="BX54" i="14" s="1"/>
  <c r="BD55" i="14"/>
  <c r="BA55" i="14"/>
  <c r="BW53" i="14"/>
  <c r="AQ55" i="14"/>
  <c r="BR53" i="14"/>
  <c r="BY53" i="14" s="1"/>
  <c r="BP54" i="14"/>
  <c r="BV54" i="14"/>
  <c r="AL54" i="14"/>
  <c r="B59" i="14"/>
  <c r="BR62" i="18" l="1"/>
  <c r="BY62" i="18" s="1"/>
  <c r="BA68" i="18"/>
  <c r="B66" i="18"/>
  <c r="BO64" i="18"/>
  <c r="BN64" i="18"/>
  <c r="BQ64" i="18"/>
  <c r="BX64" i="18" s="1"/>
  <c r="AH65" i="18"/>
  <c r="BE62" i="18"/>
  <c r="AR62" i="18" s="1"/>
  <c r="AX62" i="18" s="1"/>
  <c r="N62" i="18" s="1"/>
  <c r="AJ63" i="18"/>
  <c r="BB62" i="18"/>
  <c r="AM62" i="18" s="1"/>
  <c r="BU63" i="18"/>
  <c r="BP63" i="18"/>
  <c r="BW63" i="18" s="1"/>
  <c r="BV63" i="18"/>
  <c r="AQ67" i="18"/>
  <c r="AL68" i="18"/>
  <c r="BQ55" i="14"/>
  <c r="BX55" i="14" s="1"/>
  <c r="BN55" i="14"/>
  <c r="BU55" i="14" s="1"/>
  <c r="AH56" i="14"/>
  <c r="BO56" i="14" s="1"/>
  <c r="BD56" i="14"/>
  <c r="BA56" i="14"/>
  <c r="BW54" i="14"/>
  <c r="AQ56" i="14"/>
  <c r="AL55" i="14"/>
  <c r="BP55" i="14"/>
  <c r="BV55" i="14"/>
  <c r="B60" i="14"/>
  <c r="BR54" i="14"/>
  <c r="BY54" i="14" s="1"/>
  <c r="BU64" i="18" l="1"/>
  <c r="BP64" i="18"/>
  <c r="BW64" i="18" s="1"/>
  <c r="BV64" i="18"/>
  <c r="AQ68" i="18"/>
  <c r="B67" i="18"/>
  <c r="BR63" i="18"/>
  <c r="BY63" i="18" s="1"/>
  <c r="AJ64" i="18"/>
  <c r="BE63" i="18"/>
  <c r="AR63" i="18" s="1"/>
  <c r="AX63" i="18" s="1"/>
  <c r="BB63" i="18"/>
  <c r="AM63" i="18" s="1"/>
  <c r="AL69" i="18"/>
  <c r="BA69" i="18"/>
  <c r="BN65" i="18"/>
  <c r="BQ65" i="18"/>
  <c r="BX65" i="18" s="1"/>
  <c r="BO65" i="18"/>
  <c r="AH66" i="18"/>
  <c r="BN56" i="14"/>
  <c r="BU56" i="14" s="1"/>
  <c r="AH57" i="14"/>
  <c r="BO57" i="14" s="1"/>
  <c r="BQ56" i="14"/>
  <c r="BX56" i="14" s="1"/>
  <c r="BD57" i="14"/>
  <c r="BA57" i="14"/>
  <c r="BW55" i="14"/>
  <c r="AQ57" i="14"/>
  <c r="AL56" i="14"/>
  <c r="BR55" i="14"/>
  <c r="BY55" i="14" s="1"/>
  <c r="BP56" i="14"/>
  <c r="BV56" i="14"/>
  <c r="B61" i="14"/>
  <c r="N63" i="18" l="1"/>
  <c r="K63" i="18"/>
  <c r="L63" i="18"/>
  <c r="BA70" i="18"/>
  <c r="AL70" i="18"/>
  <c r="AQ69" i="18"/>
  <c r="BP65" i="18"/>
  <c r="BW65" i="18" s="1"/>
  <c r="BV65" i="18"/>
  <c r="BU65" i="18"/>
  <c r="B68" i="18"/>
  <c r="AJ65" i="18"/>
  <c r="BE64" i="18"/>
  <c r="AR64" i="18" s="1"/>
  <c r="AX64" i="18" s="1"/>
  <c r="N64" i="18" s="1"/>
  <c r="BB64" i="18"/>
  <c r="AM64" i="18" s="1"/>
  <c r="BQ66" i="18"/>
  <c r="BX66" i="18" s="1"/>
  <c r="AH67" i="18"/>
  <c r="BO66" i="18"/>
  <c r="BN66" i="18"/>
  <c r="BR64" i="18"/>
  <c r="BY64" i="18" s="1"/>
  <c r="BN57" i="14"/>
  <c r="BU57" i="14" s="1"/>
  <c r="BQ57" i="14"/>
  <c r="BX57" i="14" s="1"/>
  <c r="AH58" i="14"/>
  <c r="BO58" i="14" s="1"/>
  <c r="BD58" i="14"/>
  <c r="BA58" i="14"/>
  <c r="BW56" i="14"/>
  <c r="AQ58" i="14"/>
  <c r="BR56" i="14"/>
  <c r="BY56" i="14" s="1"/>
  <c r="AL57" i="14"/>
  <c r="B62" i="14"/>
  <c r="BP57" i="14"/>
  <c r="BV57" i="14"/>
  <c r="M63" i="18" l="1"/>
  <c r="BR65" i="18"/>
  <c r="BY65" i="18" s="1"/>
  <c r="BU66" i="18"/>
  <c r="BP66" i="18"/>
  <c r="BW66" i="18" s="1"/>
  <c r="BV66" i="18"/>
  <c r="BO67" i="18"/>
  <c r="BN67" i="18"/>
  <c r="BQ67" i="18"/>
  <c r="BX67" i="18" s="1"/>
  <c r="AH68" i="18"/>
  <c r="B69" i="18"/>
  <c r="AQ70" i="18"/>
  <c r="AJ66" i="18"/>
  <c r="BE65" i="18"/>
  <c r="AR65" i="18" s="1"/>
  <c r="AX65" i="18" s="1"/>
  <c r="N65" i="18" s="1"/>
  <c r="BB65" i="18"/>
  <c r="AM65" i="18" s="1"/>
  <c r="AL71" i="18"/>
  <c r="BA71" i="18"/>
  <c r="BQ58" i="14"/>
  <c r="BX58" i="14" s="1"/>
  <c r="BN58" i="14"/>
  <c r="BU58" i="14" s="1"/>
  <c r="AH59" i="14"/>
  <c r="BO59" i="14" s="1"/>
  <c r="BD59" i="14"/>
  <c r="BA59" i="14"/>
  <c r="BW57" i="14"/>
  <c r="AQ59" i="14"/>
  <c r="BR57" i="14"/>
  <c r="BY57" i="14" s="1"/>
  <c r="BP58" i="14"/>
  <c r="BV58" i="14"/>
  <c r="B63" i="14"/>
  <c r="AL58" i="14"/>
  <c r="BA72" i="18" l="1"/>
  <c r="AL72" i="18"/>
  <c r="BQ68" i="18"/>
  <c r="BX68" i="18" s="1"/>
  <c r="BO68" i="18"/>
  <c r="BN68" i="18"/>
  <c r="AH69" i="18"/>
  <c r="BU67" i="18"/>
  <c r="BE66" i="18"/>
  <c r="AR66" i="18" s="1"/>
  <c r="AX66" i="18" s="1"/>
  <c r="N66" i="18" s="1"/>
  <c r="AJ67" i="18"/>
  <c r="BB66" i="18"/>
  <c r="AM66" i="18" s="1"/>
  <c r="BP67" i="18"/>
  <c r="BW67" i="18" s="1"/>
  <c r="BV67" i="18"/>
  <c r="AQ71" i="18"/>
  <c r="B70" i="18"/>
  <c r="BR66" i="18"/>
  <c r="BY66" i="18" s="1"/>
  <c r="BN59" i="14"/>
  <c r="BU59" i="14" s="1"/>
  <c r="BQ59" i="14"/>
  <c r="BX59" i="14" s="1"/>
  <c r="AH60" i="14"/>
  <c r="BO60" i="14" s="1"/>
  <c r="BD60" i="14"/>
  <c r="BA60" i="14"/>
  <c r="BW58" i="14"/>
  <c r="AQ60" i="14"/>
  <c r="BR58" i="14"/>
  <c r="BY58" i="14" s="1"/>
  <c r="B64" i="14"/>
  <c r="AL59" i="14"/>
  <c r="BP59" i="14"/>
  <c r="BV59" i="14"/>
  <c r="BR67" i="18" l="1"/>
  <c r="BY67" i="18" s="1"/>
  <c r="AH70" i="18"/>
  <c r="BQ69" i="18"/>
  <c r="BX69" i="18" s="1"/>
  <c r="BO69" i="18"/>
  <c r="BN69" i="18"/>
  <c r="BU68" i="18"/>
  <c r="B71" i="18"/>
  <c r="BP68" i="18"/>
  <c r="BW68" i="18" s="1"/>
  <c r="BV68" i="18"/>
  <c r="AQ72" i="18"/>
  <c r="AL73" i="18"/>
  <c r="AJ68" i="18"/>
  <c r="BE67" i="18"/>
  <c r="AR67" i="18" s="1"/>
  <c r="AX67" i="18" s="1"/>
  <c r="N67" i="18" s="1"/>
  <c r="BB67" i="18"/>
  <c r="AM67" i="18" s="1"/>
  <c r="BA73" i="18"/>
  <c r="AH61" i="14"/>
  <c r="BO61" i="14" s="1"/>
  <c r="BQ60" i="14"/>
  <c r="BX60" i="14" s="1"/>
  <c r="BN60" i="14"/>
  <c r="BU60" i="14" s="1"/>
  <c r="BD61" i="14"/>
  <c r="BA61" i="14"/>
  <c r="BW59" i="14"/>
  <c r="AQ61" i="14"/>
  <c r="AL60" i="14"/>
  <c r="BP60" i="14"/>
  <c r="BV60" i="14"/>
  <c r="BR59" i="14"/>
  <c r="BY59" i="14" s="1"/>
  <c r="B65" i="14"/>
  <c r="BR68" i="18" l="1"/>
  <c r="BY68" i="18" s="1"/>
  <c r="BE68" i="18"/>
  <c r="AR68" i="18" s="1"/>
  <c r="AX68" i="18" s="1"/>
  <c r="N68" i="18" s="1"/>
  <c r="AJ69" i="18"/>
  <c r="BB68" i="18"/>
  <c r="AM68" i="18" s="1"/>
  <c r="B72" i="18"/>
  <c r="AL74" i="18"/>
  <c r="BA74" i="18"/>
  <c r="AQ73" i="18"/>
  <c r="BU69" i="18"/>
  <c r="BP69" i="18"/>
  <c r="BW69" i="18" s="1"/>
  <c r="BV69" i="18"/>
  <c r="AH71" i="18"/>
  <c r="BQ70" i="18"/>
  <c r="BX70" i="18" s="1"/>
  <c r="BO70" i="18"/>
  <c r="BN70" i="18"/>
  <c r="AH62" i="14"/>
  <c r="BO62" i="14" s="1"/>
  <c r="BN61" i="14"/>
  <c r="BU61" i="14" s="1"/>
  <c r="BQ61" i="14"/>
  <c r="BX61" i="14" s="1"/>
  <c r="BD62" i="14"/>
  <c r="BA62" i="14"/>
  <c r="BW60" i="14"/>
  <c r="AQ62" i="14"/>
  <c r="BR60" i="14"/>
  <c r="BY60" i="14" s="1"/>
  <c r="B66" i="14"/>
  <c r="AL61" i="14"/>
  <c r="BP61" i="14"/>
  <c r="BV61" i="14"/>
  <c r="BP70" i="18" l="1"/>
  <c r="BW70" i="18" s="1"/>
  <c r="BV70" i="18"/>
  <c r="BR69" i="18"/>
  <c r="BY69" i="18" s="1"/>
  <c r="B73" i="18"/>
  <c r="AQ74" i="18"/>
  <c r="BU70" i="18"/>
  <c r="AL75" i="18"/>
  <c r="BO71" i="18"/>
  <c r="AH72" i="18"/>
  <c r="BQ71" i="18"/>
  <c r="BX71" i="18" s="1"/>
  <c r="BN71" i="18"/>
  <c r="AJ70" i="18"/>
  <c r="BE69" i="18"/>
  <c r="AR69" i="18" s="1"/>
  <c r="AX69" i="18" s="1"/>
  <c r="N69" i="18" s="1"/>
  <c r="BB69" i="18"/>
  <c r="AM69" i="18" s="1"/>
  <c r="BA75" i="18"/>
  <c r="BN62" i="14"/>
  <c r="BU62" i="14" s="1"/>
  <c r="BQ62" i="14"/>
  <c r="BX62" i="14" s="1"/>
  <c r="AH63" i="14"/>
  <c r="BO63" i="14" s="1"/>
  <c r="G18" i="14" s="1"/>
  <c r="D24" i="20" s="1"/>
  <c r="BD63" i="14"/>
  <c r="BA63" i="14"/>
  <c r="BW61" i="14"/>
  <c r="AQ63" i="14"/>
  <c r="BR61" i="14"/>
  <c r="BY61" i="14" s="1"/>
  <c r="BP62" i="14"/>
  <c r="BV62" i="14"/>
  <c r="G8" i="14"/>
  <c r="B21" i="14"/>
  <c r="AL62" i="14"/>
  <c r="B67" i="14"/>
  <c r="BR70" i="18" l="1"/>
  <c r="BY70" i="18" s="1"/>
  <c r="G9" i="14"/>
  <c r="F10" i="20"/>
  <c r="F11" i="20" s="1"/>
  <c r="AJ71" i="18"/>
  <c r="BE70" i="18"/>
  <c r="AR70" i="18" s="1"/>
  <c r="AX70" i="18" s="1"/>
  <c r="N70" i="18" s="1"/>
  <c r="BB70" i="18"/>
  <c r="AM70" i="18" s="1"/>
  <c r="BA76" i="18"/>
  <c r="AQ75" i="18"/>
  <c r="BU71" i="18"/>
  <c r="BQ72" i="18"/>
  <c r="BX72" i="18" s="1"/>
  <c r="AH73" i="18"/>
  <c r="BO72" i="18"/>
  <c r="BN72" i="18"/>
  <c r="B74" i="18"/>
  <c r="BP71" i="18"/>
  <c r="BW71" i="18" s="1"/>
  <c r="BV71" i="18"/>
  <c r="AL76" i="18"/>
  <c r="AH64" i="14"/>
  <c r="BO64" i="14" s="1"/>
  <c r="BN63" i="14"/>
  <c r="BU63" i="14" s="1"/>
  <c r="F17" i="14" s="1"/>
  <c r="C23" i="20" s="1"/>
  <c r="BQ63" i="14"/>
  <c r="BX63" i="14" s="1"/>
  <c r="BD64" i="14"/>
  <c r="BA64" i="14"/>
  <c r="BW62" i="14"/>
  <c r="O18" i="14"/>
  <c r="AQ64" i="14"/>
  <c r="BR62" i="14"/>
  <c r="BY62" i="14" s="1"/>
  <c r="B68" i="14"/>
  <c r="BP63" i="14"/>
  <c r="H18" i="14"/>
  <c r="E24" i="20" s="1"/>
  <c r="BO30" i="14"/>
  <c r="BP30" i="14" s="1"/>
  <c r="BV63" i="14"/>
  <c r="G17" i="14" s="1"/>
  <c r="D23" i="20" s="1"/>
  <c r="D25" i="20" s="1"/>
  <c r="AJ39" i="14"/>
  <c r="F18" i="14"/>
  <c r="C24" i="20" s="1"/>
  <c r="BN30" i="14"/>
  <c r="AL63" i="14"/>
  <c r="G24" i="20" l="1"/>
  <c r="C25" i="20"/>
  <c r="BE39" i="14"/>
  <c r="H36" i="20" s="1"/>
  <c r="C36" i="20"/>
  <c r="C37" i="20" s="1"/>
  <c r="F36" i="20"/>
  <c r="F37" i="20" s="1"/>
  <c r="F38" i="20" s="1"/>
  <c r="F39" i="20" s="1"/>
  <c r="F40" i="20" s="1"/>
  <c r="F41" i="20" s="1"/>
  <c r="F42" i="20" s="1"/>
  <c r="F43" i="20" s="1"/>
  <c r="F44" i="20" s="1"/>
  <c r="F45" i="20" s="1"/>
  <c r="D36" i="20"/>
  <c r="M20" i="14"/>
  <c r="I18" i="20"/>
  <c r="E20" i="20" s="1"/>
  <c r="BO73" i="18"/>
  <c r="BN73" i="18"/>
  <c r="AH74" i="18"/>
  <c r="BQ73" i="18"/>
  <c r="BX73" i="18" s="1"/>
  <c r="BA77" i="18"/>
  <c r="B75" i="18"/>
  <c r="AQ76" i="18"/>
  <c r="AL77" i="18"/>
  <c r="BR71" i="18"/>
  <c r="BY71" i="18" s="1"/>
  <c r="BU72" i="18"/>
  <c r="BP72" i="18"/>
  <c r="BW72" i="18" s="1"/>
  <c r="BV72" i="18"/>
  <c r="AJ72" i="18"/>
  <c r="BE71" i="18"/>
  <c r="AR71" i="18" s="1"/>
  <c r="AX71" i="18" s="1"/>
  <c r="N71" i="18" s="1"/>
  <c r="BB71" i="18"/>
  <c r="AM71" i="18" s="1"/>
  <c r="BQ64" i="14"/>
  <c r="BX64" i="14" s="1"/>
  <c r="BN64" i="14"/>
  <c r="BU64" i="14" s="1"/>
  <c r="AH65" i="14"/>
  <c r="BO65" i="14" s="1"/>
  <c r="BD65" i="14"/>
  <c r="BA65" i="14"/>
  <c r="BB39" i="14"/>
  <c r="AM39" i="14" s="1"/>
  <c r="BW63" i="14"/>
  <c r="O20" i="14"/>
  <c r="AQ65" i="14"/>
  <c r="BR63" i="14"/>
  <c r="BY63" i="14" s="1"/>
  <c r="K18" i="14"/>
  <c r="K22" i="14" s="1"/>
  <c r="BR30" i="14"/>
  <c r="BP64" i="14"/>
  <c r="BV64" i="14"/>
  <c r="G19" i="14"/>
  <c r="H17" i="14"/>
  <c r="E23" i="20" s="1"/>
  <c r="E25" i="20" s="1"/>
  <c r="AJ40" i="14"/>
  <c r="B69" i="14"/>
  <c r="F19" i="14"/>
  <c r="AL64" i="14"/>
  <c r="E36" i="20" l="1"/>
  <c r="G36" i="20" s="1"/>
  <c r="D37" i="20"/>
  <c r="C38" i="20"/>
  <c r="C39" i="20" s="1"/>
  <c r="C40" i="20" s="1"/>
  <c r="C41" i="20" s="1"/>
  <c r="AR39" i="14"/>
  <c r="AX39" i="14" s="1"/>
  <c r="N39" i="14" s="1"/>
  <c r="BA78" i="18"/>
  <c r="AQ77" i="18"/>
  <c r="BO74" i="18"/>
  <c r="BN74" i="18"/>
  <c r="BQ74" i="18"/>
  <c r="BX74" i="18" s="1"/>
  <c r="AH75" i="18"/>
  <c r="AJ73" i="18"/>
  <c r="BE72" i="18"/>
  <c r="AR72" i="18" s="1"/>
  <c r="AX72" i="18" s="1"/>
  <c r="N72" i="18" s="1"/>
  <c r="BB72" i="18"/>
  <c r="AM72" i="18" s="1"/>
  <c r="AL78" i="18"/>
  <c r="B76" i="18"/>
  <c r="BR72" i="18"/>
  <c r="BY72" i="18" s="1"/>
  <c r="BU73" i="18"/>
  <c r="BP73" i="18"/>
  <c r="BW73" i="18" s="1"/>
  <c r="BV73" i="18"/>
  <c r="BN65" i="14"/>
  <c r="BU65" i="14" s="1"/>
  <c r="BQ65" i="14"/>
  <c r="BX65" i="14" s="1"/>
  <c r="AH66" i="14"/>
  <c r="BO66" i="14" s="1"/>
  <c r="H19" i="14"/>
  <c r="BJ40" i="14"/>
  <c r="BJ41" i="14" s="1"/>
  <c r="BJ42" i="14" s="1"/>
  <c r="BJ43" i="14" s="1"/>
  <c r="BJ44" i="14" s="1"/>
  <c r="BJ45" i="14" s="1"/>
  <c r="BJ46" i="14" s="1"/>
  <c r="BJ47" i="14" s="1"/>
  <c r="BJ48" i="14" s="1"/>
  <c r="BJ49" i="14" s="1"/>
  <c r="BJ50" i="14" s="1"/>
  <c r="BJ51" i="14" s="1"/>
  <c r="BJ52" i="14" s="1"/>
  <c r="BJ53" i="14" s="1"/>
  <c r="BJ54" i="14" s="1"/>
  <c r="BJ55" i="14" s="1"/>
  <c r="BJ56" i="14" s="1"/>
  <c r="BJ57" i="14" s="1"/>
  <c r="BJ58" i="14" s="1"/>
  <c r="BJ59" i="14" s="1"/>
  <c r="BJ60" i="14" s="1"/>
  <c r="BJ61" i="14" s="1"/>
  <c r="BJ62" i="14" s="1"/>
  <c r="BJ63" i="14" s="1"/>
  <c r="BJ64" i="14" s="1"/>
  <c r="BJ65" i="14" s="1"/>
  <c r="BJ66" i="14" s="1"/>
  <c r="BJ67" i="14" s="1"/>
  <c r="BJ68" i="14" s="1"/>
  <c r="BJ69" i="14" s="1"/>
  <c r="BJ70" i="14" s="1"/>
  <c r="BJ71" i="14" s="1"/>
  <c r="BJ72" i="14" s="1"/>
  <c r="BJ73" i="14" s="1"/>
  <c r="BJ74" i="14" s="1"/>
  <c r="BJ75" i="14" s="1"/>
  <c r="BJ76" i="14" s="1"/>
  <c r="BJ77" i="14" s="1"/>
  <c r="BJ78" i="14" s="1"/>
  <c r="BJ79" i="14" s="1"/>
  <c r="BJ80" i="14" s="1"/>
  <c r="BJ81" i="14" s="1"/>
  <c r="BJ82" i="14" s="1"/>
  <c r="BJ83" i="14" s="1"/>
  <c r="BJ84" i="14" s="1"/>
  <c r="BJ85" i="14" s="1"/>
  <c r="BJ86" i="14" s="1"/>
  <c r="BJ87" i="14" s="1"/>
  <c r="BJ88" i="14" s="1"/>
  <c r="BJ89" i="14" s="1"/>
  <c r="BJ90" i="14" s="1"/>
  <c r="BJ91" i="14" s="1"/>
  <c r="BJ92" i="14" s="1"/>
  <c r="BJ93" i="14" s="1"/>
  <c r="BJ94" i="14" s="1"/>
  <c r="BJ95" i="14" s="1"/>
  <c r="BJ96" i="14" s="1"/>
  <c r="BJ97" i="14" s="1"/>
  <c r="BJ98" i="14" s="1"/>
  <c r="BJ99" i="14" s="1"/>
  <c r="BJ100" i="14" s="1"/>
  <c r="BJ101" i="14" s="1"/>
  <c r="BJ102" i="14" s="1"/>
  <c r="BJ103" i="14" s="1"/>
  <c r="BJ104" i="14" s="1"/>
  <c r="BJ105" i="14" s="1"/>
  <c r="BJ106" i="14" s="1"/>
  <c r="BJ107" i="14" s="1"/>
  <c r="BJ108" i="14" s="1"/>
  <c r="BJ109" i="14" s="1"/>
  <c r="BJ110" i="14" s="1"/>
  <c r="BJ111" i="14" s="1"/>
  <c r="BJ112" i="14" s="1"/>
  <c r="BJ113" i="14" s="1"/>
  <c r="BJ114" i="14" s="1"/>
  <c r="BJ115" i="14" s="1"/>
  <c r="BJ116" i="14" s="1"/>
  <c r="BJ117" i="14" s="1"/>
  <c r="BJ118" i="14" s="1"/>
  <c r="BJ119" i="14" s="1"/>
  <c r="BJ120" i="14" s="1"/>
  <c r="BJ121" i="14" s="1"/>
  <c r="BJ122" i="14" s="1"/>
  <c r="BJ123" i="14" s="1"/>
  <c r="BJ124" i="14" s="1"/>
  <c r="BJ125" i="14" s="1"/>
  <c r="BJ126" i="14" s="1"/>
  <c r="BJ127" i="14" s="1"/>
  <c r="BJ128" i="14" s="1"/>
  <c r="BJ129" i="14" s="1"/>
  <c r="BJ130" i="14" s="1"/>
  <c r="BJ131" i="14" s="1"/>
  <c r="BJ132" i="14" s="1"/>
  <c r="BJ133" i="14" s="1"/>
  <c r="BJ134" i="14" s="1"/>
  <c r="BJ135" i="14" s="1"/>
  <c r="BJ136" i="14" s="1"/>
  <c r="BJ137" i="14" s="1"/>
  <c r="BJ138" i="14" s="1"/>
  <c r="BJ139" i="14" s="1"/>
  <c r="BJ140" i="14" s="1"/>
  <c r="BJ141" i="14" s="1"/>
  <c r="BJ142" i="14" s="1"/>
  <c r="BJ143" i="14" s="1"/>
  <c r="BJ144" i="14" s="1"/>
  <c r="BJ145" i="14" s="1"/>
  <c r="BJ146" i="14" s="1"/>
  <c r="BJ147" i="14" s="1"/>
  <c r="BJ148" i="14" s="1"/>
  <c r="BJ149" i="14" s="1"/>
  <c r="BJ150" i="14" s="1"/>
  <c r="BJ151" i="14" s="1"/>
  <c r="BJ152" i="14" s="1"/>
  <c r="BJ153" i="14" s="1"/>
  <c r="BJ154" i="14" s="1"/>
  <c r="BJ155" i="14" s="1"/>
  <c r="BJ156" i="14" s="1"/>
  <c r="BJ157" i="14" s="1"/>
  <c r="BJ158" i="14" s="1"/>
  <c r="BD66" i="14"/>
  <c r="BA66" i="14"/>
  <c r="BB40" i="14"/>
  <c r="BW64" i="14"/>
  <c r="AQ66" i="14"/>
  <c r="BR64" i="14"/>
  <c r="BY64" i="14" s="1"/>
  <c r="AJ41" i="14"/>
  <c r="BE40" i="14"/>
  <c r="AL65" i="14"/>
  <c r="B70" i="14"/>
  <c r="BP65" i="14"/>
  <c r="BV65" i="14"/>
  <c r="C42" i="20" l="1"/>
  <c r="C43" i="20" s="1"/>
  <c r="C44" i="20" s="1"/>
  <c r="C45" i="20" s="1"/>
  <c r="E37" i="20"/>
  <c r="G37" i="20" s="1"/>
  <c r="D38" i="20"/>
  <c r="BR73" i="18"/>
  <c r="BY73" i="18" s="1"/>
  <c r="BE73" i="18"/>
  <c r="AR73" i="18" s="1"/>
  <c r="AX73" i="18" s="1"/>
  <c r="N73" i="18" s="1"/>
  <c r="AJ74" i="18"/>
  <c r="BB73" i="18"/>
  <c r="AM73" i="18" s="1"/>
  <c r="BN75" i="18"/>
  <c r="AH76" i="18"/>
  <c r="BQ75" i="18"/>
  <c r="BX75" i="18" s="1"/>
  <c r="I17" i="18" s="1"/>
  <c r="BO75" i="18"/>
  <c r="BU74" i="18"/>
  <c r="BP74" i="18"/>
  <c r="BW74" i="18" s="1"/>
  <c r="BV74" i="18"/>
  <c r="AQ78" i="18"/>
  <c r="B77" i="18"/>
  <c r="BA79" i="18"/>
  <c r="AL79" i="18"/>
  <c r="AR40" i="14"/>
  <c r="AX40" i="14" s="1"/>
  <c r="N40" i="14" s="1"/>
  <c r="K39" i="14"/>
  <c r="L39" i="14"/>
  <c r="M39" i="14" s="1"/>
  <c r="BN66" i="14"/>
  <c r="BU66" i="14" s="1"/>
  <c r="BQ66" i="14"/>
  <c r="BX66" i="14" s="1"/>
  <c r="AH67" i="14"/>
  <c r="BO67" i="14" s="1"/>
  <c r="BD67" i="14"/>
  <c r="BA67" i="14"/>
  <c r="BB41" i="14"/>
  <c r="BW65" i="14"/>
  <c r="AQ67" i="14"/>
  <c r="BR65" i="14"/>
  <c r="BY65" i="14" s="1"/>
  <c r="BP66" i="14"/>
  <c r="BV66" i="14"/>
  <c r="AL66" i="14"/>
  <c r="AJ42" i="14"/>
  <c r="BE41" i="14"/>
  <c r="AR41" i="14" s="1"/>
  <c r="AM40" i="14"/>
  <c r="B71" i="14"/>
  <c r="C39" i="14"/>
  <c r="I19" i="18" l="1"/>
  <c r="K17" i="18"/>
  <c r="D39" i="20"/>
  <c r="E38" i="20"/>
  <c r="G38" i="20" s="1"/>
  <c r="BA80" i="18"/>
  <c r="AH77" i="18"/>
  <c r="BQ76" i="18"/>
  <c r="BX76" i="18" s="1"/>
  <c r="BO76" i="18"/>
  <c r="BN76" i="18"/>
  <c r="BU75" i="18"/>
  <c r="BE74" i="18"/>
  <c r="AR74" i="18" s="1"/>
  <c r="AX74" i="18" s="1"/>
  <c r="N74" i="18" s="1"/>
  <c r="AJ75" i="18"/>
  <c r="BB74" i="18"/>
  <c r="AM74" i="18" s="1"/>
  <c r="BR74" i="18"/>
  <c r="BY74" i="18" s="1"/>
  <c r="BP75" i="18"/>
  <c r="BW75" i="18" s="1"/>
  <c r="BV75" i="18"/>
  <c r="B78" i="18"/>
  <c r="AL80" i="18"/>
  <c r="AQ79" i="18"/>
  <c r="BN67" i="14"/>
  <c r="BU67" i="14" s="1"/>
  <c r="BQ67" i="14"/>
  <c r="BX67" i="14" s="1"/>
  <c r="AH68" i="14"/>
  <c r="BO68" i="14" s="1"/>
  <c r="BD68" i="14"/>
  <c r="BA68" i="14"/>
  <c r="BB42" i="14"/>
  <c r="BW66" i="14"/>
  <c r="AQ68" i="14"/>
  <c r="AX41" i="14"/>
  <c r="AL67" i="14"/>
  <c r="B72" i="14"/>
  <c r="AM41" i="14"/>
  <c r="AJ43" i="14"/>
  <c r="BB43" i="14" s="1"/>
  <c r="BE42" i="14"/>
  <c r="AR42" i="14" s="1"/>
  <c r="BR66" i="14"/>
  <c r="BY66" i="14" s="1"/>
  <c r="BP67" i="14"/>
  <c r="BV67" i="14"/>
  <c r="K19" i="18" l="1"/>
  <c r="K21" i="18"/>
  <c r="D40" i="20"/>
  <c r="E39" i="20"/>
  <c r="G39" i="20" s="1"/>
  <c r="BR75" i="18"/>
  <c r="BY75" i="18" s="1"/>
  <c r="BU30" i="18" s="1"/>
  <c r="BU76" i="18"/>
  <c r="BE75" i="18"/>
  <c r="AR75" i="18" s="1"/>
  <c r="AX75" i="18" s="1"/>
  <c r="AJ76" i="18"/>
  <c r="BB75" i="18"/>
  <c r="AM75" i="18" s="1"/>
  <c r="AL81" i="18"/>
  <c r="BP76" i="18"/>
  <c r="BW76" i="18" s="1"/>
  <c r="BV76" i="18"/>
  <c r="B79" i="18"/>
  <c r="BO77" i="18"/>
  <c r="AH78" i="18"/>
  <c r="BQ77" i="18"/>
  <c r="BX77" i="18" s="1"/>
  <c r="BN77" i="18"/>
  <c r="BA81" i="18"/>
  <c r="AQ80" i="18"/>
  <c r="N41" i="14"/>
  <c r="L41" i="14"/>
  <c r="M41" i="14" s="1"/>
  <c r="K41" i="14"/>
  <c r="AH69" i="14"/>
  <c r="BO69" i="14" s="1"/>
  <c r="BN68" i="14"/>
  <c r="BU68" i="14" s="1"/>
  <c r="BQ68" i="14"/>
  <c r="BX68" i="14" s="1"/>
  <c r="BD69" i="14"/>
  <c r="BA69" i="14"/>
  <c r="BW67" i="14"/>
  <c r="AQ69" i="14"/>
  <c r="AX42" i="14"/>
  <c r="BP68" i="14"/>
  <c r="BV68" i="14"/>
  <c r="AM42" i="14"/>
  <c r="B73" i="14"/>
  <c r="AL68" i="14"/>
  <c r="AJ44" i="14"/>
  <c r="BE43" i="14"/>
  <c r="AR43" i="14" s="1"/>
  <c r="BR67" i="14"/>
  <c r="BY67" i="14" s="1"/>
  <c r="AG19" i="18" l="1"/>
  <c r="N75" i="18"/>
  <c r="K75" i="18"/>
  <c r="L75" i="18"/>
  <c r="D41" i="20"/>
  <c r="E40" i="20"/>
  <c r="G40" i="20" s="1"/>
  <c r="AL82" i="18"/>
  <c r="BQ78" i="18"/>
  <c r="BX78" i="18" s="1"/>
  <c r="AH79" i="18"/>
  <c r="BN78" i="18"/>
  <c r="BO78" i="18"/>
  <c r="AQ81" i="18"/>
  <c r="BA82" i="18"/>
  <c r="BU77" i="18"/>
  <c r="BP77" i="18"/>
  <c r="BW77" i="18" s="1"/>
  <c r="BV77" i="18"/>
  <c r="AJ77" i="18"/>
  <c r="BE76" i="18"/>
  <c r="AR76" i="18" s="1"/>
  <c r="AX76" i="18" s="1"/>
  <c r="N76" i="18" s="1"/>
  <c r="BB76" i="18"/>
  <c r="AM76" i="18" s="1"/>
  <c r="B80" i="18"/>
  <c r="BR76" i="18"/>
  <c r="BY76" i="18" s="1"/>
  <c r="N42" i="14"/>
  <c r="K42" i="14"/>
  <c r="L42" i="14"/>
  <c r="M42" i="14" s="1"/>
  <c r="BQ69" i="14"/>
  <c r="BX69" i="14" s="1"/>
  <c r="AH70" i="14"/>
  <c r="BO70" i="14" s="1"/>
  <c r="BN69" i="14"/>
  <c r="BU69" i="14" s="1"/>
  <c r="BD70" i="14"/>
  <c r="BA70" i="14"/>
  <c r="BB44" i="14"/>
  <c r="BW68" i="14"/>
  <c r="AQ70" i="14"/>
  <c r="AX43" i="14"/>
  <c r="N43" i="14" s="1"/>
  <c r="B74" i="14"/>
  <c r="AM43" i="14"/>
  <c r="AL69" i="14"/>
  <c r="BR68" i="14"/>
  <c r="BY68" i="14" s="1"/>
  <c r="BE44" i="14"/>
  <c r="AR44" i="14" s="1"/>
  <c r="AJ45" i="14"/>
  <c r="BP69" i="14"/>
  <c r="BV69" i="14"/>
  <c r="M75" i="18" l="1"/>
  <c r="D42" i="20"/>
  <c r="E41" i="20"/>
  <c r="G41" i="20" s="1"/>
  <c r="BR77" i="18"/>
  <c r="BY77" i="18" s="1"/>
  <c r="B81" i="18"/>
  <c r="BA83" i="18"/>
  <c r="AQ82" i="18"/>
  <c r="BP78" i="18"/>
  <c r="BW78" i="18" s="1"/>
  <c r="BV78" i="18"/>
  <c r="BU78" i="18"/>
  <c r="AJ78" i="18"/>
  <c r="BE77" i="18"/>
  <c r="AR77" i="18" s="1"/>
  <c r="AX77" i="18" s="1"/>
  <c r="N77" i="18" s="1"/>
  <c r="BB77" i="18"/>
  <c r="AM77" i="18" s="1"/>
  <c r="BO79" i="18"/>
  <c r="BQ79" i="18"/>
  <c r="BX79" i="18" s="1"/>
  <c r="BN79" i="18"/>
  <c r="AH80" i="18"/>
  <c r="AL83" i="18"/>
  <c r="AH71" i="14"/>
  <c r="BO71" i="14" s="1"/>
  <c r="BN70" i="14"/>
  <c r="BU70" i="14" s="1"/>
  <c r="BQ70" i="14"/>
  <c r="BX70" i="14" s="1"/>
  <c r="L43" i="14"/>
  <c r="M43" i="14" s="1"/>
  <c r="K43" i="14"/>
  <c r="BD71" i="14"/>
  <c r="BA71" i="14"/>
  <c r="BB45" i="14"/>
  <c r="BW69" i="14"/>
  <c r="AQ71" i="14"/>
  <c r="AX44" i="14"/>
  <c r="BR69" i="14"/>
  <c r="BY69" i="14" s="1"/>
  <c r="AM44" i="14"/>
  <c r="BP70" i="14"/>
  <c r="BV70" i="14"/>
  <c r="BE45" i="14"/>
  <c r="AR45" i="14" s="1"/>
  <c r="AJ46" i="14"/>
  <c r="AL70" i="14"/>
  <c r="B75" i="14"/>
  <c r="BN71" i="14" l="1"/>
  <c r="BU71" i="14" s="1"/>
  <c r="E42" i="20"/>
  <c r="G42" i="20" s="1"/>
  <c r="D43" i="20"/>
  <c r="BQ80" i="18"/>
  <c r="BX80" i="18" s="1"/>
  <c r="BO80" i="18"/>
  <c r="BN80" i="18"/>
  <c r="AH81" i="18"/>
  <c r="AL84" i="18"/>
  <c r="AQ83" i="18"/>
  <c r="BU79" i="18"/>
  <c r="BA84" i="18"/>
  <c r="BP79" i="18"/>
  <c r="BW79" i="18" s="1"/>
  <c r="BV79" i="18"/>
  <c r="AJ79" i="18"/>
  <c r="BE78" i="18"/>
  <c r="AR78" i="18" s="1"/>
  <c r="AX78" i="18" s="1"/>
  <c r="N78" i="18" s="1"/>
  <c r="BB78" i="18"/>
  <c r="AM78" i="18" s="1"/>
  <c r="B82" i="18"/>
  <c r="BR78" i="18"/>
  <c r="BY78" i="18" s="1"/>
  <c r="BQ71" i="14"/>
  <c r="N44" i="14"/>
  <c r="L44" i="14"/>
  <c r="M44" i="14" s="1"/>
  <c r="K44" i="14"/>
  <c r="BX71" i="14"/>
  <c r="AH72" i="14"/>
  <c r="BO72" i="14" s="1"/>
  <c r="BD72" i="14"/>
  <c r="BA72" i="14"/>
  <c r="BB46" i="14"/>
  <c r="BW70" i="14"/>
  <c r="AQ72" i="14"/>
  <c r="AX45" i="14"/>
  <c r="N45" i="14" s="1"/>
  <c r="B76" i="14"/>
  <c r="AJ47" i="14"/>
  <c r="BE46" i="14"/>
  <c r="AR46" i="14" s="1"/>
  <c r="BP71" i="14"/>
  <c r="BV71" i="14"/>
  <c r="BR70" i="14"/>
  <c r="BY70" i="14" s="1"/>
  <c r="AL71" i="14"/>
  <c r="AM45" i="14"/>
  <c r="E43" i="20" l="1"/>
  <c r="G43" i="20" s="1"/>
  <c r="D44" i="20"/>
  <c r="BR79" i="18"/>
  <c r="BY79" i="18" s="1"/>
  <c r="BA85" i="18"/>
  <c r="B83" i="18"/>
  <c r="AQ84" i="18"/>
  <c r="AL85" i="18"/>
  <c r="AJ80" i="18"/>
  <c r="BE79" i="18"/>
  <c r="AR79" i="18" s="1"/>
  <c r="AX79" i="18" s="1"/>
  <c r="N79" i="18" s="1"/>
  <c r="BB79" i="18"/>
  <c r="AM79" i="18" s="1"/>
  <c r="BO81" i="18"/>
  <c r="AH82" i="18"/>
  <c r="BQ81" i="18"/>
  <c r="BX81" i="18" s="1"/>
  <c r="BN81" i="18"/>
  <c r="BU80" i="18"/>
  <c r="BP80" i="18"/>
  <c r="BW80" i="18" s="1"/>
  <c r="BV80" i="18"/>
  <c r="AH73" i="14"/>
  <c r="BO73" i="14" s="1"/>
  <c r="BN72" i="14"/>
  <c r="BU72" i="14" s="1"/>
  <c r="BQ72" i="14"/>
  <c r="BX72" i="14" s="1"/>
  <c r="BD73" i="14"/>
  <c r="BA73" i="14"/>
  <c r="BB47" i="14"/>
  <c r="BW71" i="14"/>
  <c r="AQ73" i="14"/>
  <c r="AX46" i="14"/>
  <c r="AM46" i="14"/>
  <c r="BP72" i="14"/>
  <c r="BV72" i="14"/>
  <c r="BR71" i="14"/>
  <c r="BY71" i="14" s="1"/>
  <c r="AL72" i="14"/>
  <c r="BE47" i="14"/>
  <c r="AR47" i="14" s="1"/>
  <c r="AJ48" i="14"/>
  <c r="B77" i="14"/>
  <c r="D45" i="20" l="1"/>
  <c r="E44" i="20"/>
  <c r="G44" i="20" s="1"/>
  <c r="AL86" i="18"/>
  <c r="AQ85" i="18"/>
  <c r="BR80" i="18"/>
  <c r="BY80" i="18" s="1"/>
  <c r="BU81" i="18"/>
  <c r="B84" i="18"/>
  <c r="AH83" i="18"/>
  <c r="BN82" i="18"/>
  <c r="BQ82" i="18"/>
  <c r="BX82" i="18" s="1"/>
  <c r="BO82" i="18"/>
  <c r="BP81" i="18"/>
  <c r="BW81" i="18" s="1"/>
  <c r="BV81" i="18"/>
  <c r="BE80" i="18"/>
  <c r="AR80" i="18" s="1"/>
  <c r="AX80" i="18" s="1"/>
  <c r="N80" i="18" s="1"/>
  <c r="AJ81" i="18"/>
  <c r="BB80" i="18"/>
  <c r="AM80" i="18" s="1"/>
  <c r="BA86" i="18"/>
  <c r="BQ73" i="14"/>
  <c r="BX73" i="14" s="1"/>
  <c r="AH74" i="14"/>
  <c r="BO74" i="14" s="1"/>
  <c r="BN73" i="14"/>
  <c r="BU73" i="14" s="1"/>
  <c r="L46" i="14"/>
  <c r="M46" i="14" s="1"/>
  <c r="N46" i="14"/>
  <c r="K46" i="14"/>
  <c r="BD74" i="14"/>
  <c r="BA74" i="14"/>
  <c r="BB48" i="14"/>
  <c r="BW72" i="14"/>
  <c r="AQ74" i="14"/>
  <c r="AX47" i="14"/>
  <c r="N47" i="14" s="1"/>
  <c r="BR72" i="14"/>
  <c r="BY72" i="14" s="1"/>
  <c r="BP73" i="14"/>
  <c r="BV73" i="14"/>
  <c r="AL73" i="14"/>
  <c r="BE48" i="14"/>
  <c r="AR48" i="14" s="1"/>
  <c r="AJ49" i="14"/>
  <c r="B78" i="14"/>
  <c r="AM47" i="14"/>
  <c r="E45" i="20" l="1"/>
  <c r="G45" i="20" s="1"/>
  <c r="BR81" i="18"/>
  <c r="BY81" i="18" s="1"/>
  <c r="B85" i="18"/>
  <c r="AJ82" i="18"/>
  <c r="BE81" i="18"/>
  <c r="AR81" i="18" s="1"/>
  <c r="AX81" i="18" s="1"/>
  <c r="N81" i="18" s="1"/>
  <c r="BB81" i="18"/>
  <c r="AM81" i="18" s="1"/>
  <c r="BU82" i="18"/>
  <c r="BA87" i="18"/>
  <c r="BP82" i="18"/>
  <c r="BW82" i="18" s="1"/>
  <c r="BV82" i="18"/>
  <c r="AQ86" i="18"/>
  <c r="BO83" i="18"/>
  <c r="AH84" i="18"/>
  <c r="BQ83" i="18"/>
  <c r="BX83" i="18" s="1"/>
  <c r="BN83" i="18"/>
  <c r="AL87" i="18"/>
  <c r="BQ74" i="14"/>
  <c r="BX74" i="14" s="1"/>
  <c r="BN74" i="14"/>
  <c r="BU74" i="14" s="1"/>
  <c r="AH75" i="14"/>
  <c r="BO75" i="14" s="1"/>
  <c r="BD75" i="14"/>
  <c r="BA75" i="14"/>
  <c r="BB49" i="14"/>
  <c r="BW73" i="14"/>
  <c r="AQ75" i="14"/>
  <c r="AX48" i="14"/>
  <c r="BR73" i="14"/>
  <c r="BY73" i="14" s="1"/>
  <c r="AM48" i="14"/>
  <c r="B79" i="14"/>
  <c r="AL74" i="14"/>
  <c r="BP74" i="14"/>
  <c r="BV74" i="14"/>
  <c r="AJ50" i="14"/>
  <c r="BB50" i="14" s="1"/>
  <c r="BE49" i="14"/>
  <c r="AR49" i="14" s="1"/>
  <c r="N48" i="14" l="1"/>
  <c r="K48" i="14"/>
  <c r="L48" i="14"/>
  <c r="M48" i="14" s="1"/>
  <c r="BR82" i="18"/>
  <c r="BY82" i="18" s="1"/>
  <c r="BE82" i="18"/>
  <c r="AR82" i="18" s="1"/>
  <c r="AX82" i="18" s="1"/>
  <c r="N82" i="18" s="1"/>
  <c r="AJ83" i="18"/>
  <c r="BB82" i="18"/>
  <c r="AM82" i="18" s="1"/>
  <c r="BA88" i="18"/>
  <c r="AL88" i="18"/>
  <c r="BU83" i="18"/>
  <c r="BQ84" i="18"/>
  <c r="BX84" i="18" s="1"/>
  <c r="AH85" i="18"/>
  <c r="BO84" i="18"/>
  <c r="BN84" i="18"/>
  <c r="BP83" i="18"/>
  <c r="BW83" i="18" s="1"/>
  <c r="BV83" i="18"/>
  <c r="AQ87" i="18"/>
  <c r="B86" i="18"/>
  <c r="AH76" i="14"/>
  <c r="BO76" i="14" s="1"/>
  <c r="BN75" i="14"/>
  <c r="BU75" i="14" s="1"/>
  <c r="BQ75" i="14"/>
  <c r="BX75" i="14" s="1"/>
  <c r="I17" i="14" s="1"/>
  <c r="F23" i="20" s="1"/>
  <c r="BD76" i="14"/>
  <c r="BA76" i="14"/>
  <c r="AM50" i="14"/>
  <c r="BW74" i="14"/>
  <c r="AQ76" i="14"/>
  <c r="AX49" i="14"/>
  <c r="N49" i="14" s="1"/>
  <c r="BR74" i="14"/>
  <c r="BY74" i="14" s="1"/>
  <c r="B80" i="14"/>
  <c r="BP75" i="14"/>
  <c r="BV75" i="14"/>
  <c r="BE50" i="14"/>
  <c r="AR50" i="14" s="1"/>
  <c r="AJ51" i="14"/>
  <c r="BB51" i="14" s="1"/>
  <c r="AL75" i="14"/>
  <c r="AM49" i="14"/>
  <c r="BR83" i="18" l="1"/>
  <c r="BY83" i="18" s="1"/>
  <c r="F25" i="20"/>
  <c r="G23" i="20"/>
  <c r="G25" i="20" s="1"/>
  <c r="I49" i="20" s="1"/>
  <c r="I19" i="14"/>
  <c r="K17" i="14"/>
  <c r="S36" i="20"/>
  <c r="BQ85" i="18"/>
  <c r="BX85" i="18" s="1"/>
  <c r="AH86" i="18"/>
  <c r="BO85" i="18"/>
  <c r="BN85" i="18"/>
  <c r="AQ88" i="18"/>
  <c r="BA89" i="18"/>
  <c r="B87" i="18"/>
  <c r="AL89" i="18"/>
  <c r="BU84" i="18"/>
  <c r="AJ84" i="18"/>
  <c r="BE83" i="18"/>
  <c r="AR83" i="18" s="1"/>
  <c r="AX83" i="18" s="1"/>
  <c r="N83" i="18" s="1"/>
  <c r="BB83" i="18"/>
  <c r="AM83" i="18" s="1"/>
  <c r="BP84" i="18"/>
  <c r="BW84" i="18" s="1"/>
  <c r="BV84" i="18"/>
  <c r="AH77" i="14"/>
  <c r="BO77" i="14" s="1"/>
  <c r="BN76" i="14"/>
  <c r="BU76" i="14" s="1"/>
  <c r="BQ76" i="14"/>
  <c r="BX76" i="14" s="1"/>
  <c r="BD77" i="14"/>
  <c r="BA77" i="14"/>
  <c r="BW75" i="14"/>
  <c r="AQ77" i="14"/>
  <c r="BR75" i="14"/>
  <c r="BY75" i="14" s="1"/>
  <c r="BU30" i="14" s="1"/>
  <c r="BE51" i="14"/>
  <c r="H37" i="20" s="1"/>
  <c r="AM51" i="14"/>
  <c r="B81" i="14"/>
  <c r="AL76" i="14"/>
  <c r="AJ52" i="14"/>
  <c r="BB52" i="14" s="1"/>
  <c r="BP76" i="14"/>
  <c r="BV76" i="14"/>
  <c r="K19" i="14" l="1"/>
  <c r="K21" i="14"/>
  <c r="AJ85" i="18"/>
  <c r="BE84" i="18"/>
  <c r="AR84" i="18" s="1"/>
  <c r="AX84" i="18" s="1"/>
  <c r="N84" i="18" s="1"/>
  <c r="BB84" i="18"/>
  <c r="AM84" i="18" s="1"/>
  <c r="AL90" i="18"/>
  <c r="BA90" i="18"/>
  <c r="BR84" i="18"/>
  <c r="BY84" i="18" s="1"/>
  <c r="AQ89" i="18"/>
  <c r="BU85" i="18"/>
  <c r="B88" i="18"/>
  <c r="BP85" i="18"/>
  <c r="BW85" i="18" s="1"/>
  <c r="BV85" i="18"/>
  <c r="BN86" i="18"/>
  <c r="AH87" i="18"/>
  <c r="BO86" i="18"/>
  <c r="BQ86" i="18"/>
  <c r="BX86" i="18" s="1"/>
  <c r="BN77" i="14"/>
  <c r="BU77" i="14" s="1"/>
  <c r="AH78" i="14"/>
  <c r="BO78" i="14" s="1"/>
  <c r="BQ77" i="14"/>
  <c r="BX77" i="14" s="1"/>
  <c r="AR51" i="14"/>
  <c r="BD78" i="14"/>
  <c r="BA78" i="14"/>
  <c r="BW76" i="14"/>
  <c r="AQ78" i="14"/>
  <c r="AV50" i="14"/>
  <c r="AX50" i="14" s="1"/>
  <c r="N50" i="14" s="1"/>
  <c r="L36" i="20" s="1"/>
  <c r="BE52" i="14"/>
  <c r="AM52" i="14"/>
  <c r="AL77" i="14"/>
  <c r="B82" i="14"/>
  <c r="BR76" i="14"/>
  <c r="BY76" i="14" s="1"/>
  <c r="BP77" i="14"/>
  <c r="BV77" i="14"/>
  <c r="AJ53" i="14"/>
  <c r="BB53" i="14" s="1"/>
  <c r="AG19" i="14" l="1"/>
  <c r="L102" i="14"/>
  <c r="BR85" i="18"/>
  <c r="BY85" i="18" s="1"/>
  <c r="BP86" i="18"/>
  <c r="BW86" i="18" s="1"/>
  <c r="BV86" i="18"/>
  <c r="AH88" i="18"/>
  <c r="BQ87" i="18"/>
  <c r="BX87" i="18" s="1"/>
  <c r="BO87" i="18"/>
  <c r="BN87" i="18"/>
  <c r="BU86" i="18"/>
  <c r="AQ90" i="18"/>
  <c r="AL91" i="18"/>
  <c r="B89" i="18"/>
  <c r="BA91" i="18"/>
  <c r="BE85" i="18"/>
  <c r="AR85" i="18" s="1"/>
  <c r="AX85" i="18" s="1"/>
  <c r="N85" i="18" s="1"/>
  <c r="AJ86" i="18"/>
  <c r="BB85" i="18"/>
  <c r="AM85" i="18" s="1"/>
  <c r="AH79" i="14"/>
  <c r="BO79" i="14" s="1"/>
  <c r="BN78" i="14"/>
  <c r="BU78" i="14" s="1"/>
  <c r="BQ78" i="14"/>
  <c r="BX78" i="14" s="1"/>
  <c r="AV51" i="14"/>
  <c r="AX51" i="14" s="1"/>
  <c r="N51" i="14" s="1"/>
  <c r="K50" i="14"/>
  <c r="L50" i="14"/>
  <c r="M50" i="14" s="1"/>
  <c r="AR52" i="14"/>
  <c r="BD79" i="14"/>
  <c r="BA79" i="14"/>
  <c r="BW77" i="14"/>
  <c r="AQ79" i="14"/>
  <c r="BE53" i="14"/>
  <c r="AM53" i="14"/>
  <c r="BR77" i="14"/>
  <c r="BY77" i="14" s="1"/>
  <c r="AJ54" i="14"/>
  <c r="BB54" i="14" s="1"/>
  <c r="BP78" i="14"/>
  <c r="BV78" i="14"/>
  <c r="B83" i="14"/>
  <c r="AL78" i="14"/>
  <c r="BR86" i="18" l="1"/>
  <c r="BY86" i="18" s="1"/>
  <c r="AL92" i="18"/>
  <c r="BE86" i="18"/>
  <c r="AR86" i="18" s="1"/>
  <c r="AX86" i="18" s="1"/>
  <c r="N86" i="18" s="1"/>
  <c r="AJ87" i="18"/>
  <c r="BB86" i="18"/>
  <c r="AM86" i="18" s="1"/>
  <c r="BA92" i="18"/>
  <c r="AQ91" i="18"/>
  <c r="BU87" i="18"/>
  <c r="BP87" i="18"/>
  <c r="BW87" i="18" s="1"/>
  <c r="BV87" i="18"/>
  <c r="B90" i="18"/>
  <c r="BN88" i="18"/>
  <c r="BO88" i="18"/>
  <c r="AH89" i="18"/>
  <c r="BQ88" i="18"/>
  <c r="BX88" i="18" s="1"/>
  <c r="K51" i="14"/>
  <c r="L51" i="14"/>
  <c r="M51" i="14" s="1"/>
  <c r="BQ79" i="14"/>
  <c r="BX79" i="14" s="1"/>
  <c r="AH80" i="14"/>
  <c r="BO80" i="14" s="1"/>
  <c r="BN79" i="14"/>
  <c r="BU79" i="14" s="1"/>
  <c r="AX52" i="14"/>
  <c r="AR53" i="14"/>
  <c r="BD80" i="14"/>
  <c r="BA80" i="14"/>
  <c r="BW78" i="14"/>
  <c r="AQ80" i="14"/>
  <c r="BE54" i="14"/>
  <c r="AR54" i="14" s="1"/>
  <c r="AM54" i="14"/>
  <c r="AL79" i="14"/>
  <c r="B84" i="14"/>
  <c r="BP79" i="14"/>
  <c r="BV79" i="14"/>
  <c r="BR78" i="14"/>
  <c r="BY78" i="14" s="1"/>
  <c r="AJ55" i="14"/>
  <c r="BB55" i="14" s="1"/>
  <c r="BR87" i="18" l="1"/>
  <c r="BY87" i="18" s="1"/>
  <c r="BA93" i="18"/>
  <c r="B91" i="18"/>
  <c r="AH90" i="18"/>
  <c r="BN89" i="18"/>
  <c r="BQ89" i="18"/>
  <c r="BX89" i="18" s="1"/>
  <c r="BO89" i="18"/>
  <c r="BP88" i="18"/>
  <c r="BW88" i="18" s="1"/>
  <c r="BV88" i="18"/>
  <c r="AQ92" i="18"/>
  <c r="BU88" i="18"/>
  <c r="BE87" i="18"/>
  <c r="AR87" i="18" s="1"/>
  <c r="AX87" i="18" s="1"/>
  <c r="AJ88" i="18"/>
  <c r="BB87" i="18"/>
  <c r="AM87" i="18" s="1"/>
  <c r="AL93" i="18"/>
  <c r="N52" i="14"/>
  <c r="K52" i="14"/>
  <c r="L52" i="14"/>
  <c r="M52" i="14" s="1"/>
  <c r="BN80" i="14"/>
  <c r="BU80" i="14" s="1"/>
  <c r="AH81" i="14"/>
  <c r="BO81" i="14" s="1"/>
  <c r="BQ80" i="14"/>
  <c r="BX80" i="14" s="1"/>
  <c r="AX53" i="14"/>
  <c r="N53" i="14" s="1"/>
  <c r="AX54" i="14"/>
  <c r="N54" i="14" s="1"/>
  <c r="BD81" i="14"/>
  <c r="BA81" i="14"/>
  <c r="BW79" i="14"/>
  <c r="AQ81" i="14"/>
  <c r="BE55" i="14"/>
  <c r="AM55" i="14"/>
  <c r="BR79" i="14"/>
  <c r="BY79" i="14" s="1"/>
  <c r="AJ56" i="14"/>
  <c r="BP80" i="14"/>
  <c r="BV80" i="14"/>
  <c r="AL80" i="14"/>
  <c r="B85" i="14"/>
  <c r="BR88" i="18" l="1"/>
  <c r="BY88" i="18" s="1"/>
  <c r="BN81" i="14"/>
  <c r="BU81" i="14" s="1"/>
  <c r="N87" i="18"/>
  <c r="K87" i="18"/>
  <c r="K99" i="18" s="1"/>
  <c r="L87" i="18"/>
  <c r="AL94" i="18"/>
  <c r="BU89" i="18"/>
  <c r="BN90" i="18"/>
  <c r="BO90" i="18"/>
  <c r="AH91" i="18"/>
  <c r="BQ90" i="18"/>
  <c r="BX90" i="18" s="1"/>
  <c r="BE88" i="18"/>
  <c r="AR88" i="18" s="1"/>
  <c r="AX88" i="18" s="1"/>
  <c r="N88" i="18" s="1"/>
  <c r="AJ89" i="18"/>
  <c r="BB88" i="18"/>
  <c r="AM88" i="18" s="1"/>
  <c r="B92" i="18"/>
  <c r="AQ93" i="18"/>
  <c r="BP89" i="18"/>
  <c r="BW89" i="18" s="1"/>
  <c r="BV89" i="18"/>
  <c r="BA94" i="18"/>
  <c r="BQ81" i="14"/>
  <c r="BX81" i="14" s="1"/>
  <c r="AH82" i="14"/>
  <c r="BO82" i="14" s="1"/>
  <c r="BE56" i="14"/>
  <c r="BB56" i="14"/>
  <c r="AM56" i="14" s="1"/>
  <c r="L53" i="14"/>
  <c r="K53" i="14"/>
  <c r="AR55" i="14"/>
  <c r="BD82" i="14"/>
  <c r="BA82" i="14"/>
  <c r="BW80" i="14"/>
  <c r="AQ82" i="14"/>
  <c r="BR80" i="14"/>
  <c r="BY80" i="14" s="1"/>
  <c r="AL81" i="14"/>
  <c r="AJ57" i="14"/>
  <c r="B86" i="14"/>
  <c r="BQ82" i="14"/>
  <c r="BP81" i="14"/>
  <c r="BV81" i="14"/>
  <c r="M87" i="18" l="1"/>
  <c r="M99" i="18" s="1"/>
  <c r="L99" i="18"/>
  <c r="AH83" i="14"/>
  <c r="BO83" i="14" s="1"/>
  <c r="AJ90" i="18"/>
  <c r="BE89" i="18"/>
  <c r="AR89" i="18" s="1"/>
  <c r="AX89" i="18" s="1"/>
  <c r="N89" i="18" s="1"/>
  <c r="BB89" i="18"/>
  <c r="AM89" i="18" s="1"/>
  <c r="BN91" i="18"/>
  <c r="AH92" i="18"/>
  <c r="BQ91" i="18"/>
  <c r="BX91" i="18" s="1"/>
  <c r="BO91" i="18"/>
  <c r="BP90" i="18"/>
  <c r="BW90" i="18" s="1"/>
  <c r="BV90" i="18"/>
  <c r="BA95" i="18"/>
  <c r="AQ94" i="18"/>
  <c r="BU90" i="18"/>
  <c r="B93" i="18"/>
  <c r="BR89" i="18"/>
  <c r="BY89" i="18" s="1"/>
  <c r="AL95" i="18"/>
  <c r="BX82" i="14"/>
  <c r="BN82" i="14"/>
  <c r="AX55" i="14"/>
  <c r="BE57" i="14"/>
  <c r="BB57" i="14"/>
  <c r="AM57" i="14" s="1"/>
  <c r="M53" i="14"/>
  <c r="AR56" i="14"/>
  <c r="BD83" i="14"/>
  <c r="BA83" i="14"/>
  <c r="BW81" i="14"/>
  <c r="AQ83" i="14"/>
  <c r="AJ58" i="14"/>
  <c r="BB58" i="14" s="1"/>
  <c r="B87" i="14"/>
  <c r="AL82" i="14"/>
  <c r="BU82" i="14"/>
  <c r="BP82" i="14"/>
  <c r="BV82" i="14"/>
  <c r="BR81" i="14"/>
  <c r="BY81" i="14" s="1"/>
  <c r="AH84" i="14" l="1"/>
  <c r="BO84" i="14" s="1"/>
  <c r="BQ83" i="14"/>
  <c r="BX83" i="14" s="1"/>
  <c r="BN83" i="14"/>
  <c r="BU83" i="14" s="1"/>
  <c r="AL96" i="18"/>
  <c r="BA96" i="18"/>
  <c r="B94" i="18"/>
  <c r="BP91" i="18"/>
  <c r="BW91" i="18" s="1"/>
  <c r="BV91" i="18"/>
  <c r="AH93" i="18"/>
  <c r="BQ92" i="18"/>
  <c r="BX92" i="18" s="1"/>
  <c r="BO92" i="18"/>
  <c r="BN92" i="18"/>
  <c r="BU91" i="18"/>
  <c r="BR90" i="18"/>
  <c r="BY90" i="18" s="1"/>
  <c r="AQ95" i="18"/>
  <c r="AJ91" i="18"/>
  <c r="BE90" i="18"/>
  <c r="AR90" i="18" s="1"/>
  <c r="AX90" i="18" s="1"/>
  <c r="N90" i="18" s="1"/>
  <c r="BB90" i="18"/>
  <c r="AM90" i="18" s="1"/>
  <c r="N55" i="14"/>
  <c r="K55" i="14"/>
  <c r="L55" i="14"/>
  <c r="M55" i="14" s="1"/>
  <c r="AX56" i="14"/>
  <c r="N56" i="14" s="1"/>
  <c r="AR57" i="14"/>
  <c r="BD84" i="14"/>
  <c r="BA84" i="14"/>
  <c r="BW82" i="14"/>
  <c r="AQ84" i="14"/>
  <c r="BE58" i="14"/>
  <c r="AM58" i="14"/>
  <c r="B88" i="14"/>
  <c r="BR82" i="14"/>
  <c r="BY82" i="14" s="1"/>
  <c r="BP83" i="14"/>
  <c r="BV83" i="14"/>
  <c r="AJ59" i="14"/>
  <c r="BB59" i="14" s="1"/>
  <c r="AL83" i="14"/>
  <c r="BQ84" i="14" l="1"/>
  <c r="BX84" i="14" s="1"/>
  <c r="AH85" i="14"/>
  <c r="BO85" i="14" s="1"/>
  <c r="BN84" i="14"/>
  <c r="BU84" i="14" s="1"/>
  <c r="BR91" i="18"/>
  <c r="BY91" i="18" s="1"/>
  <c r="B95" i="18"/>
  <c r="BU92" i="18"/>
  <c r="BE91" i="18"/>
  <c r="AR91" i="18" s="1"/>
  <c r="AX91" i="18" s="1"/>
  <c r="N91" i="18" s="1"/>
  <c r="AJ92" i="18"/>
  <c r="BB91" i="18"/>
  <c r="AM91" i="18" s="1"/>
  <c r="AL97" i="18"/>
  <c r="AQ96" i="18"/>
  <c r="BP92" i="18"/>
  <c r="BW92" i="18" s="1"/>
  <c r="BV92" i="18"/>
  <c r="BA97" i="18"/>
  <c r="BN93" i="18"/>
  <c r="BQ93" i="18"/>
  <c r="BX93" i="18" s="1"/>
  <c r="BO93" i="18"/>
  <c r="AH94" i="18"/>
  <c r="AX57" i="14"/>
  <c r="N57" i="14" s="1"/>
  <c r="AR58" i="14"/>
  <c r="BD85" i="14"/>
  <c r="BA85" i="14"/>
  <c r="BW83" i="14"/>
  <c r="AQ85" i="14"/>
  <c r="BE59" i="14"/>
  <c r="AM59" i="14"/>
  <c r="B89" i="14"/>
  <c r="BR83" i="14"/>
  <c r="BY83" i="14" s="1"/>
  <c r="BP84" i="14"/>
  <c r="BV84" i="14"/>
  <c r="AL84" i="14"/>
  <c r="AJ60" i="14"/>
  <c r="BB60" i="14" s="1"/>
  <c r="BQ85" i="14" l="1"/>
  <c r="BX85" i="14" s="1"/>
  <c r="BN85" i="14"/>
  <c r="BU85" i="14" s="1"/>
  <c r="AH86" i="14"/>
  <c r="BO86" i="14" s="1"/>
  <c r="BR92" i="18"/>
  <c r="BY92" i="18" s="1"/>
  <c r="BE92" i="18"/>
  <c r="AR92" i="18" s="1"/>
  <c r="AX92" i="18" s="1"/>
  <c r="N92" i="18" s="1"/>
  <c r="AJ93" i="18"/>
  <c r="BB92" i="18"/>
  <c r="AM92" i="18" s="1"/>
  <c r="BU93" i="18"/>
  <c r="BP93" i="18"/>
  <c r="BW93" i="18" s="1"/>
  <c r="BV93" i="18"/>
  <c r="BA98" i="18"/>
  <c r="B96" i="18"/>
  <c r="AQ97" i="18"/>
  <c r="AL98" i="18"/>
  <c r="AH95" i="18"/>
  <c r="BQ94" i="18"/>
  <c r="BX94" i="18" s="1"/>
  <c r="BO94" i="18"/>
  <c r="BN94" i="18"/>
  <c r="AX58" i="14"/>
  <c r="N58" i="14" s="1"/>
  <c r="AR59" i="14"/>
  <c r="BD86" i="14"/>
  <c r="BA86" i="14"/>
  <c r="BW84" i="14"/>
  <c r="AQ86" i="14"/>
  <c r="BE60" i="14"/>
  <c r="AM60" i="14"/>
  <c r="AJ61" i="14"/>
  <c r="BB61" i="14" s="1"/>
  <c r="B90" i="14"/>
  <c r="AL85" i="14"/>
  <c r="BR84" i="14"/>
  <c r="BY84" i="14" s="1"/>
  <c r="BP85" i="14"/>
  <c r="BV85" i="14"/>
  <c r="AH87" i="14" l="1"/>
  <c r="BO87" i="14" s="1"/>
  <c r="BQ86" i="14"/>
  <c r="BX86" i="14" s="1"/>
  <c r="BN86" i="14"/>
  <c r="BU86" i="14" s="1"/>
  <c r="BU94" i="18"/>
  <c r="BP94" i="18"/>
  <c r="BW94" i="18" s="1"/>
  <c r="BV94" i="18"/>
  <c r="BA99" i="18"/>
  <c r="BO95" i="18"/>
  <c r="BN95" i="18"/>
  <c r="BQ95" i="18"/>
  <c r="BX95" i="18" s="1"/>
  <c r="AH96" i="18"/>
  <c r="AN39" i="18"/>
  <c r="BR93" i="18"/>
  <c r="BY93" i="18" s="1"/>
  <c r="AQ98" i="18"/>
  <c r="B97" i="18"/>
  <c r="BE93" i="18"/>
  <c r="AR93" i="18" s="1"/>
  <c r="AX93" i="18" s="1"/>
  <c r="N93" i="18" s="1"/>
  <c r="AJ94" i="18"/>
  <c r="BB93" i="18"/>
  <c r="AM93" i="18" s="1"/>
  <c r="AX59" i="14"/>
  <c r="N59" i="14" s="1"/>
  <c r="AR60" i="14"/>
  <c r="BD87" i="14"/>
  <c r="BA87" i="14"/>
  <c r="BW85" i="14"/>
  <c r="AQ87" i="14"/>
  <c r="BE61" i="14"/>
  <c r="AM61" i="14"/>
  <c r="AL86" i="14"/>
  <c r="BP86" i="14"/>
  <c r="BV86" i="14"/>
  <c r="BN87" i="14"/>
  <c r="BQ87" i="14"/>
  <c r="AH88" i="14"/>
  <c r="BO88" i="14" s="1"/>
  <c r="B91" i="14"/>
  <c r="BR85" i="14"/>
  <c r="BY85" i="14" s="1"/>
  <c r="AJ62" i="14"/>
  <c r="BB62" i="14" s="1"/>
  <c r="BX87" i="14" l="1"/>
  <c r="AS39" i="18"/>
  <c r="AJ95" i="18"/>
  <c r="BE94" i="18"/>
  <c r="AR94" i="18" s="1"/>
  <c r="AX94" i="18" s="1"/>
  <c r="N94" i="18" s="1"/>
  <c r="BB94" i="18"/>
  <c r="AM94" i="18" s="1"/>
  <c r="B98" i="18"/>
  <c r="BQ96" i="18"/>
  <c r="BX96" i="18" s="1"/>
  <c r="AH97" i="18"/>
  <c r="BO96" i="18"/>
  <c r="BN96" i="18"/>
  <c r="BU95" i="18"/>
  <c r="BP95" i="18"/>
  <c r="BW95" i="18" s="1"/>
  <c r="BV95" i="18"/>
  <c r="BA100" i="18"/>
  <c r="AN40" i="18"/>
  <c r="BR94" i="18"/>
  <c r="BY94" i="18" s="1"/>
  <c r="AX60" i="14"/>
  <c r="N60" i="14" s="1"/>
  <c r="BD88" i="14"/>
  <c r="BA88" i="14"/>
  <c r="BW86" i="14"/>
  <c r="AQ88" i="14"/>
  <c r="AR61" i="14"/>
  <c r="BE62" i="14"/>
  <c r="AM62" i="14"/>
  <c r="S37" i="20" s="1"/>
  <c r="BR86" i="14"/>
  <c r="BY86" i="14" s="1"/>
  <c r="BU87" i="14"/>
  <c r="BN88" i="14"/>
  <c r="AH89" i="14"/>
  <c r="BO89" i="14" s="1"/>
  <c r="BQ88" i="14"/>
  <c r="BX88" i="14" s="1"/>
  <c r="BP87" i="14"/>
  <c r="BV87" i="14"/>
  <c r="AL87" i="14"/>
  <c r="AJ63" i="14"/>
  <c r="BB63" i="14" s="1"/>
  <c r="B92" i="14"/>
  <c r="O39" i="18" l="1"/>
  <c r="BU96" i="18"/>
  <c r="AN41" i="18"/>
  <c r="BA101" i="18"/>
  <c r="BR95" i="18"/>
  <c r="BY95" i="18" s="1"/>
  <c r="AJ96" i="18"/>
  <c r="BE95" i="18"/>
  <c r="AR95" i="18" s="1"/>
  <c r="AX95" i="18" s="1"/>
  <c r="N95" i="18" s="1"/>
  <c r="BB95" i="18"/>
  <c r="AM95" i="18" s="1"/>
  <c r="BP96" i="18"/>
  <c r="BW96" i="18" s="1"/>
  <c r="BV96" i="18"/>
  <c r="AS40" i="18"/>
  <c r="BO97" i="18"/>
  <c r="AH98" i="18"/>
  <c r="BQ97" i="18"/>
  <c r="BX97" i="18" s="1"/>
  <c r="BN97" i="18"/>
  <c r="AR62" i="14"/>
  <c r="BD89" i="14"/>
  <c r="BA89" i="14"/>
  <c r="BW87" i="14"/>
  <c r="AQ89" i="14"/>
  <c r="AX61" i="14"/>
  <c r="N61" i="14" s="1"/>
  <c r="BE63" i="14"/>
  <c r="H38" i="20" s="1"/>
  <c r="AM63" i="14"/>
  <c r="BP88" i="14"/>
  <c r="BV88" i="14"/>
  <c r="B93" i="14"/>
  <c r="AJ64" i="14"/>
  <c r="BB64" i="14" s="1"/>
  <c r="AL88" i="14"/>
  <c r="AH90" i="14"/>
  <c r="BO90" i="14" s="1"/>
  <c r="BN89" i="14"/>
  <c r="BQ89" i="14"/>
  <c r="BX89" i="14" s="1"/>
  <c r="BU88" i="14"/>
  <c r="BR87" i="14"/>
  <c r="BY87" i="14" s="1"/>
  <c r="BR96" i="18" l="1"/>
  <c r="BY96" i="18" s="1"/>
  <c r="BP97" i="18"/>
  <c r="BW97" i="18" s="1"/>
  <c r="BV97" i="18"/>
  <c r="AS41" i="18"/>
  <c r="BO98" i="18"/>
  <c r="AH99" i="18"/>
  <c r="AH100" i="18" s="1"/>
  <c r="AH101" i="18" s="1"/>
  <c r="AH102" i="18" s="1"/>
  <c r="AH103" i="18" s="1"/>
  <c r="BQ98" i="18"/>
  <c r="BX98" i="18" s="1"/>
  <c r="BN98" i="18"/>
  <c r="AN42" i="18"/>
  <c r="O40" i="18"/>
  <c r="AJ97" i="18"/>
  <c r="BE96" i="18"/>
  <c r="AR96" i="18" s="1"/>
  <c r="AX96" i="18" s="1"/>
  <c r="N96" i="18" s="1"/>
  <c r="BB96" i="18"/>
  <c r="AM96" i="18" s="1"/>
  <c r="BU97" i="18"/>
  <c r="BA102" i="18"/>
  <c r="AV62" i="14"/>
  <c r="AX62" i="14" s="1"/>
  <c r="N62" i="14" s="1"/>
  <c r="L37" i="20" s="1"/>
  <c r="L62" i="14"/>
  <c r="M62" i="14" s="1"/>
  <c r="AR63" i="14"/>
  <c r="BD90" i="14"/>
  <c r="BA90" i="14"/>
  <c r="BW88" i="14"/>
  <c r="AQ90" i="14"/>
  <c r="BE64" i="14"/>
  <c r="AM64" i="14"/>
  <c r="BU89" i="14"/>
  <c r="BP89" i="14"/>
  <c r="BV89" i="14"/>
  <c r="BN90" i="14"/>
  <c r="AH91" i="14"/>
  <c r="BO91" i="14" s="1"/>
  <c r="BQ90" i="14"/>
  <c r="BX90" i="14" s="1"/>
  <c r="B94" i="14"/>
  <c r="AL89" i="14"/>
  <c r="BR88" i="14"/>
  <c r="BY88" i="14" s="1"/>
  <c r="AJ65" i="14"/>
  <c r="BB65" i="14" s="1"/>
  <c r="BR97" i="18" l="1"/>
  <c r="BY97" i="18" s="1"/>
  <c r="BN99" i="18"/>
  <c r="BO99" i="18"/>
  <c r="BQ99" i="18"/>
  <c r="BX99" i="18" s="1"/>
  <c r="O41" i="18"/>
  <c r="AN43" i="18"/>
  <c r="BU98" i="18"/>
  <c r="BA103" i="18"/>
  <c r="BE97" i="18"/>
  <c r="AR97" i="18" s="1"/>
  <c r="AX97" i="18" s="1"/>
  <c r="N97" i="18" s="1"/>
  <c r="AJ98" i="18"/>
  <c r="BB97" i="18"/>
  <c r="AM97" i="18" s="1"/>
  <c r="BP98" i="18"/>
  <c r="BV98" i="18"/>
  <c r="AS42" i="18"/>
  <c r="K62" i="14"/>
  <c r="AV63" i="14"/>
  <c r="AX63" i="14" s="1"/>
  <c r="AR64" i="14"/>
  <c r="BD91" i="14"/>
  <c r="BA91" i="14"/>
  <c r="BW89" i="14"/>
  <c r="AQ91" i="14"/>
  <c r="BE65" i="14"/>
  <c r="AM65" i="14"/>
  <c r="AL90" i="14"/>
  <c r="BR89" i="14"/>
  <c r="BY89" i="14" s="1"/>
  <c r="AJ66" i="14"/>
  <c r="BB66" i="14" s="1"/>
  <c r="BN91" i="14"/>
  <c r="BQ91" i="14"/>
  <c r="BX91" i="14" s="1"/>
  <c r="AH92" i="14"/>
  <c r="BO92" i="14" s="1"/>
  <c r="BU90" i="14"/>
  <c r="BP90" i="14"/>
  <c r="BV90" i="14"/>
  <c r="B95" i="14"/>
  <c r="N63" i="14" l="1"/>
  <c r="L63" i="14"/>
  <c r="M63" i="14" s="1"/>
  <c r="K63" i="14"/>
  <c r="BO100" i="18"/>
  <c r="BQ100" i="18"/>
  <c r="BX100" i="18" s="1"/>
  <c r="BN100" i="18"/>
  <c r="BP99" i="18"/>
  <c r="BR99" i="18" s="1"/>
  <c r="BV99" i="18"/>
  <c r="BU99" i="18"/>
  <c r="BW98" i="18"/>
  <c r="BR98" i="18"/>
  <c r="BA104" i="18"/>
  <c r="AN44" i="18"/>
  <c r="AS43" i="18"/>
  <c r="BE98" i="18"/>
  <c r="AR98" i="18" s="1"/>
  <c r="AX98" i="18" s="1"/>
  <c r="AJ99" i="18"/>
  <c r="BB98" i="18"/>
  <c r="AM98" i="18" s="1"/>
  <c r="O42" i="18"/>
  <c r="AX64" i="14"/>
  <c r="N64" i="14" s="1"/>
  <c r="AR65" i="14"/>
  <c r="BD92" i="14"/>
  <c r="BA92" i="14"/>
  <c r="BW90" i="14"/>
  <c r="AQ92" i="14"/>
  <c r="BE66" i="14"/>
  <c r="AM66" i="14"/>
  <c r="BU91" i="14"/>
  <c r="BP91" i="14"/>
  <c r="BV91" i="14"/>
  <c r="B96" i="14"/>
  <c r="AJ67" i="14"/>
  <c r="BB67" i="14" s="1"/>
  <c r="BR90" i="14"/>
  <c r="BY90" i="14" s="1"/>
  <c r="BN92" i="14"/>
  <c r="AH93" i="14"/>
  <c r="BO93" i="14" s="1"/>
  <c r="BQ92" i="14"/>
  <c r="BX92" i="14" s="1"/>
  <c r="AL91" i="14"/>
  <c r="BW99" i="18" l="1"/>
  <c r="BN101" i="18"/>
  <c r="BO101" i="18"/>
  <c r="BQ101" i="18"/>
  <c r="BX101" i="18" s="1"/>
  <c r="BU100" i="18"/>
  <c r="BP100" i="18"/>
  <c r="BV100" i="18"/>
  <c r="BY98" i="18"/>
  <c r="BY99" i="18"/>
  <c r="N98" i="18"/>
  <c r="N99" i="18" s="1"/>
  <c r="AX99" i="18"/>
  <c r="AS44" i="18"/>
  <c r="O43" i="18"/>
  <c r="AJ100" i="18"/>
  <c r="BE99" i="18"/>
  <c r="AT39" i="18" s="1"/>
  <c r="AY39" i="18" s="1"/>
  <c r="BB99" i="18"/>
  <c r="AO39" i="18" s="1"/>
  <c r="AN45" i="18"/>
  <c r="BA105" i="18"/>
  <c r="AX65" i="14"/>
  <c r="N65" i="14" s="1"/>
  <c r="AR66" i="14"/>
  <c r="BD93" i="14"/>
  <c r="BA93" i="14"/>
  <c r="BW91" i="14"/>
  <c r="AQ93" i="14"/>
  <c r="BE67" i="14"/>
  <c r="AM67" i="14"/>
  <c r="B97" i="14"/>
  <c r="BU92" i="14"/>
  <c r="BP92" i="14"/>
  <c r="BV92" i="14"/>
  <c r="AJ68" i="14"/>
  <c r="BB68" i="14" s="1"/>
  <c r="AL92" i="14"/>
  <c r="BQ93" i="14"/>
  <c r="BX93" i="14" s="1"/>
  <c r="BN93" i="14"/>
  <c r="AH94" i="14"/>
  <c r="BO94" i="14" s="1"/>
  <c r="BR91" i="14"/>
  <c r="BY91" i="14" s="1"/>
  <c r="Y39" i="18" l="1"/>
  <c r="Z39" i="18" s="1"/>
  <c r="X39" i="18"/>
  <c r="BN102" i="18"/>
  <c r="BO102" i="18"/>
  <c r="BQ102" i="18"/>
  <c r="BX102" i="18" s="1"/>
  <c r="BR100" i="18"/>
  <c r="BW100" i="18"/>
  <c r="BP101" i="18"/>
  <c r="BW101" i="18" s="1"/>
  <c r="BV101" i="18"/>
  <c r="BU101" i="18"/>
  <c r="AA39" i="18"/>
  <c r="AJ101" i="18"/>
  <c r="BE100" i="18"/>
  <c r="AT40" i="18" s="1"/>
  <c r="AY40" i="18" s="1"/>
  <c r="AA40" i="18" s="1"/>
  <c r="BB100" i="18"/>
  <c r="AO40" i="18" s="1"/>
  <c r="O44" i="18"/>
  <c r="AS45" i="18"/>
  <c r="BA106" i="18"/>
  <c r="AN46" i="18"/>
  <c r="AX66" i="14"/>
  <c r="N66" i="14" s="1"/>
  <c r="AR67" i="14"/>
  <c r="BD94" i="14"/>
  <c r="BA94" i="14"/>
  <c r="BW92" i="14"/>
  <c r="AQ94" i="14"/>
  <c r="BE68" i="14"/>
  <c r="AM68" i="14"/>
  <c r="BP93" i="14"/>
  <c r="BV93" i="14"/>
  <c r="BN94" i="14"/>
  <c r="AH95" i="14"/>
  <c r="BO95" i="14" s="1"/>
  <c r="BQ94" i="14"/>
  <c r="BX94" i="14" s="1"/>
  <c r="AJ69" i="14"/>
  <c r="BB69" i="14" s="1"/>
  <c r="BU93" i="14"/>
  <c r="BR92" i="14"/>
  <c r="BY92" i="14" s="1"/>
  <c r="AL93" i="14"/>
  <c r="B98" i="14"/>
  <c r="BQ103" i="18" l="1"/>
  <c r="BX103" i="18" s="1"/>
  <c r="BN103" i="18"/>
  <c r="BO103" i="18"/>
  <c r="BP102" i="18"/>
  <c r="BR102" i="18" s="1"/>
  <c r="BV102" i="18"/>
  <c r="BU102" i="18"/>
  <c r="BR101" i="18"/>
  <c r="BY100" i="18"/>
  <c r="O45" i="18"/>
  <c r="AN47" i="18"/>
  <c r="BA107" i="18"/>
  <c r="BE101" i="18"/>
  <c r="AT41" i="18" s="1"/>
  <c r="AY41" i="18" s="1"/>
  <c r="AA41" i="18" s="1"/>
  <c r="AJ102" i="18"/>
  <c r="BB101" i="18"/>
  <c r="AO41" i="18" s="1"/>
  <c r="AS46" i="18"/>
  <c r="AX67" i="14"/>
  <c r="N67" i="14" s="1"/>
  <c r="AR68" i="14"/>
  <c r="BD95" i="14"/>
  <c r="BA95" i="14"/>
  <c r="BW93" i="14"/>
  <c r="AQ95" i="14"/>
  <c r="BR93" i="14"/>
  <c r="BY93" i="14" s="1"/>
  <c r="BE69" i="14"/>
  <c r="AM69" i="14"/>
  <c r="O39" i="14"/>
  <c r="BU94" i="14"/>
  <c r="AL94" i="14"/>
  <c r="AJ70" i="14"/>
  <c r="BB70" i="14" s="1"/>
  <c r="AH96" i="14"/>
  <c r="BO96" i="14" s="1"/>
  <c r="BQ95" i="14"/>
  <c r="BX95" i="14" s="1"/>
  <c r="BN95" i="14"/>
  <c r="BP94" i="14"/>
  <c r="BV94" i="14"/>
  <c r="BY102" i="18" l="1"/>
  <c r="BW102" i="18"/>
  <c r="BN104" i="18"/>
  <c r="BU104" i="18" s="1"/>
  <c r="BQ104" i="18"/>
  <c r="BX104" i="18" s="1"/>
  <c r="BO104" i="18"/>
  <c r="BP103" i="18"/>
  <c r="BV103" i="18"/>
  <c r="BU103" i="18"/>
  <c r="BY101" i="18"/>
  <c r="AN48" i="18"/>
  <c r="BA108" i="18"/>
  <c r="AS47" i="18"/>
  <c r="O46" i="18"/>
  <c r="AJ103" i="18"/>
  <c r="BE102" i="18"/>
  <c r="AT42" i="18" s="1"/>
  <c r="AY42" i="18" s="1"/>
  <c r="AA42" i="18" s="1"/>
  <c r="BB102" i="18"/>
  <c r="AO42" i="18" s="1"/>
  <c r="AX68" i="14"/>
  <c r="N68" i="14" s="1"/>
  <c r="AR69" i="14"/>
  <c r="BD96" i="14"/>
  <c r="BA96" i="14"/>
  <c r="BW94" i="14"/>
  <c r="AQ96" i="14"/>
  <c r="BE70" i="14"/>
  <c r="AM70" i="14"/>
  <c r="O40" i="14"/>
  <c r="AL95" i="14"/>
  <c r="BP95" i="14"/>
  <c r="BV95" i="14"/>
  <c r="BN96" i="14"/>
  <c r="AH97" i="14"/>
  <c r="BO97" i="14" s="1"/>
  <c r="BQ96" i="14"/>
  <c r="BX96" i="14" s="1"/>
  <c r="BR94" i="14"/>
  <c r="BY94" i="14" s="1"/>
  <c r="BU95" i="14"/>
  <c r="AJ71" i="14"/>
  <c r="BB71" i="14" s="1"/>
  <c r="BP104" i="18" l="1"/>
  <c r="BR104" i="18" s="1"/>
  <c r="BV104" i="18"/>
  <c r="BN105" i="18"/>
  <c r="BU105" i="18" s="1"/>
  <c r="BQ105" i="18"/>
  <c r="BX105" i="18" s="1"/>
  <c r="BO105" i="18"/>
  <c r="BR103" i="18"/>
  <c r="BW103" i="18"/>
  <c r="AS48" i="18"/>
  <c r="O47" i="18"/>
  <c r="BA109" i="18"/>
  <c r="BE103" i="18"/>
  <c r="AT43" i="18" s="1"/>
  <c r="AY43" i="18" s="1"/>
  <c r="AJ104" i="18"/>
  <c r="BB103" i="18"/>
  <c r="AO43" i="18" s="1"/>
  <c r="AN49" i="18"/>
  <c r="AX69" i="14"/>
  <c r="N69" i="14" s="1"/>
  <c r="AR70" i="14"/>
  <c r="BD97" i="14"/>
  <c r="BA97" i="14"/>
  <c r="BW95" i="14"/>
  <c r="AQ97" i="14"/>
  <c r="BE71" i="14"/>
  <c r="AM71" i="14"/>
  <c r="BR95" i="14"/>
  <c r="BY95" i="14" s="1"/>
  <c r="AJ72" i="14"/>
  <c r="BB72" i="14" s="1"/>
  <c r="BP96" i="14"/>
  <c r="BV96" i="14"/>
  <c r="AL96" i="14"/>
  <c r="O41" i="14"/>
  <c r="BN97" i="14"/>
  <c r="BQ97" i="14"/>
  <c r="BX97" i="14" s="1"/>
  <c r="AH98" i="14"/>
  <c r="BO98" i="14" s="1"/>
  <c r="BU96" i="14"/>
  <c r="AA43" i="18" l="1"/>
  <c r="Y43" i="18"/>
  <c r="Z43" i="18" s="1"/>
  <c r="X43" i="18"/>
  <c r="BY104" i="18"/>
  <c r="BY103" i="18"/>
  <c r="BP105" i="18"/>
  <c r="BV105" i="18"/>
  <c r="BO106" i="18"/>
  <c r="BN106" i="18"/>
  <c r="BQ106" i="18"/>
  <c r="BX106" i="18" s="1"/>
  <c r="BW104" i="18"/>
  <c r="O48" i="18"/>
  <c r="BA110" i="18"/>
  <c r="AN50" i="18"/>
  <c r="BE104" i="18"/>
  <c r="AT44" i="18" s="1"/>
  <c r="AY44" i="18" s="1"/>
  <c r="AJ105" i="18"/>
  <c r="BB104" i="18"/>
  <c r="AO44" i="18" s="1"/>
  <c r="AS49" i="18"/>
  <c r="AX70" i="14"/>
  <c r="N70" i="14" s="1"/>
  <c r="AR71" i="14"/>
  <c r="BD98" i="14"/>
  <c r="BA98" i="14"/>
  <c r="BW96" i="14"/>
  <c r="AQ98" i="14"/>
  <c r="BR96" i="14"/>
  <c r="BY96" i="14" s="1"/>
  <c r="BE72" i="14"/>
  <c r="AM72" i="14"/>
  <c r="AL97" i="14"/>
  <c r="BU97" i="14"/>
  <c r="BP97" i="14"/>
  <c r="BV97" i="14"/>
  <c r="BN98" i="14"/>
  <c r="BQ98" i="14"/>
  <c r="BX98" i="14" s="1"/>
  <c r="O42" i="14"/>
  <c r="AJ73" i="14"/>
  <c r="BB73" i="14" s="1"/>
  <c r="X44" i="18" l="1"/>
  <c r="Y44" i="18"/>
  <c r="BU106" i="18"/>
  <c r="BP106" i="18"/>
  <c r="BR106" i="18" s="1"/>
  <c r="BV106" i="18"/>
  <c r="BR105" i="18"/>
  <c r="BW105" i="18"/>
  <c r="BO107" i="18"/>
  <c r="BN107" i="18"/>
  <c r="BU107" i="18" s="1"/>
  <c r="BQ107" i="18"/>
  <c r="AA44" i="18"/>
  <c r="AN51" i="18"/>
  <c r="AS50" i="18"/>
  <c r="O49" i="18"/>
  <c r="BA111" i="18"/>
  <c r="AJ106" i="18"/>
  <c r="BE105" i="18"/>
  <c r="AT45" i="18" s="1"/>
  <c r="AY45" i="18" s="1"/>
  <c r="AA45" i="18" s="1"/>
  <c r="BB105" i="18"/>
  <c r="AO45" i="18" s="1"/>
  <c r="AX71" i="14"/>
  <c r="N71" i="14" s="1"/>
  <c r="AR72" i="14"/>
  <c r="BD99" i="14"/>
  <c r="BA99" i="14"/>
  <c r="BW97" i="14"/>
  <c r="AS39" i="14"/>
  <c r="BE73" i="14"/>
  <c r="AM73" i="14"/>
  <c r="O43" i="14"/>
  <c r="AL98" i="14"/>
  <c r="AJ74" i="14"/>
  <c r="BB74" i="14" s="1"/>
  <c r="BR97" i="14"/>
  <c r="BY97" i="14" s="1"/>
  <c r="BU98" i="14"/>
  <c r="BP98" i="14"/>
  <c r="BV98" i="14"/>
  <c r="BW106" i="18" l="1"/>
  <c r="Z44" i="18"/>
  <c r="BO108" i="18"/>
  <c r="BN108" i="18"/>
  <c r="BQ108" i="18"/>
  <c r="BX108" i="18" s="1"/>
  <c r="BY105" i="18"/>
  <c r="BY106" i="18"/>
  <c r="BX107" i="18"/>
  <c r="BP107" i="18"/>
  <c r="BV107" i="18"/>
  <c r="O50" i="18"/>
  <c r="AN52" i="18"/>
  <c r="BE106" i="18"/>
  <c r="AT46" i="18" s="1"/>
  <c r="AY46" i="18" s="1"/>
  <c r="AA46" i="18" s="1"/>
  <c r="AJ107" i="18"/>
  <c r="BB106" i="18"/>
  <c r="AO46" i="18" s="1"/>
  <c r="BA112" i="18"/>
  <c r="AS51" i="18"/>
  <c r="AX72" i="14"/>
  <c r="N72" i="14" s="1"/>
  <c r="BD100" i="14"/>
  <c r="BA100" i="14"/>
  <c r="BW98" i="14"/>
  <c r="AS40" i="14"/>
  <c r="AR73" i="14"/>
  <c r="BE74" i="14"/>
  <c r="AM74" i="14"/>
  <c r="S38" i="20" s="1"/>
  <c r="AJ75" i="14"/>
  <c r="BB75" i="14" s="1"/>
  <c r="BR98" i="14"/>
  <c r="BY98" i="14" s="1"/>
  <c r="AN39" i="14"/>
  <c r="O44" i="14"/>
  <c r="BU108" i="18" l="1"/>
  <c r="BQ109" i="18"/>
  <c r="BX109" i="18" s="1"/>
  <c r="BN109" i="18"/>
  <c r="BO109" i="18"/>
  <c r="BR107" i="18"/>
  <c r="BW107" i="18"/>
  <c r="BP108" i="18"/>
  <c r="BR108" i="18" s="1"/>
  <c r="BV108" i="18"/>
  <c r="AJ108" i="18"/>
  <c r="BE107" i="18"/>
  <c r="AT47" i="18" s="1"/>
  <c r="AY47" i="18" s="1"/>
  <c r="AA47" i="18" s="1"/>
  <c r="BB107" i="18"/>
  <c r="AO47" i="18" s="1"/>
  <c r="AN53" i="18"/>
  <c r="O51" i="18"/>
  <c r="AS52" i="18"/>
  <c r="BA113" i="18"/>
  <c r="AR74" i="14"/>
  <c r="BD101" i="14"/>
  <c r="BA101" i="14"/>
  <c r="AS41" i="14"/>
  <c r="AX73" i="14"/>
  <c r="N73" i="14" s="1"/>
  <c r="BE75" i="14"/>
  <c r="H39" i="20" s="1"/>
  <c r="AM75" i="14"/>
  <c r="O45" i="14"/>
  <c r="AN40" i="14"/>
  <c r="AJ76" i="14"/>
  <c r="BB76" i="14" s="1"/>
  <c r="BW108" i="18" l="1"/>
  <c r="BY107" i="18"/>
  <c r="BY108" i="18"/>
  <c r="BP109" i="18"/>
  <c r="BW109" i="18" s="1"/>
  <c r="BV109" i="18"/>
  <c r="BU109" i="18"/>
  <c r="BN110" i="18"/>
  <c r="BO110" i="18"/>
  <c r="BQ110" i="18"/>
  <c r="BX110" i="18" s="1"/>
  <c r="O52" i="18"/>
  <c r="AN54" i="18"/>
  <c r="AS53" i="18"/>
  <c r="BA114" i="18"/>
  <c r="BE108" i="18"/>
  <c r="AT48" i="18" s="1"/>
  <c r="AY48" i="18" s="1"/>
  <c r="AA48" i="18" s="1"/>
  <c r="AJ109" i="18"/>
  <c r="BB108" i="18"/>
  <c r="AO48" i="18" s="1"/>
  <c r="AV74" i="14"/>
  <c r="AX74" i="14" s="1"/>
  <c r="N74" i="14" s="1"/>
  <c r="L38" i="20" s="1"/>
  <c r="L74" i="14"/>
  <c r="M74" i="14" s="1"/>
  <c r="AR75" i="14"/>
  <c r="BD102" i="14"/>
  <c r="BA102" i="14"/>
  <c r="AS42" i="14"/>
  <c r="BE76" i="14"/>
  <c r="AM76" i="14"/>
  <c r="O46" i="14"/>
  <c r="AJ77" i="14"/>
  <c r="BB77" i="14" s="1"/>
  <c r="AN41" i="14"/>
  <c r="BR109" i="18" l="1"/>
  <c r="BY109" i="18" s="1"/>
  <c r="BP110" i="18"/>
  <c r="BW110" i="18" s="1"/>
  <c r="BV110" i="18"/>
  <c r="BU110" i="18"/>
  <c r="AN55" i="18"/>
  <c r="O53" i="18"/>
  <c r="AS54" i="18"/>
  <c r="BE109" i="18"/>
  <c r="AT49" i="18" s="1"/>
  <c r="AY49" i="18" s="1"/>
  <c r="AJ110" i="18"/>
  <c r="BB109" i="18"/>
  <c r="AO49" i="18" s="1"/>
  <c r="BA115" i="18"/>
  <c r="K74" i="14"/>
  <c r="AV75" i="14"/>
  <c r="AX75" i="14" s="1"/>
  <c r="AR76" i="14"/>
  <c r="BD103" i="14"/>
  <c r="BA103" i="14"/>
  <c r="AS43" i="14"/>
  <c r="BE77" i="14"/>
  <c r="AM77" i="14"/>
  <c r="AN42" i="14"/>
  <c r="AJ78" i="14"/>
  <c r="BB78" i="14" s="1"/>
  <c r="O47" i="14"/>
  <c r="BR110" i="18" l="1"/>
  <c r="BY110" i="18" s="1"/>
  <c r="N75" i="14"/>
  <c r="L75" i="14"/>
  <c r="M75" i="14" s="1"/>
  <c r="K75" i="14"/>
  <c r="AA49" i="18"/>
  <c r="Y49" i="18"/>
  <c r="Y99" i="18" s="1"/>
  <c r="X49" i="18"/>
  <c r="X99" i="18" s="1"/>
  <c r="BA116" i="18"/>
  <c r="O54" i="18"/>
  <c r="AS55" i="18"/>
  <c r="BE110" i="18"/>
  <c r="AT50" i="18" s="1"/>
  <c r="AY50" i="18" s="1"/>
  <c r="AA50" i="18" s="1"/>
  <c r="AJ111" i="18"/>
  <c r="BB110" i="18"/>
  <c r="AO50" i="18" s="1"/>
  <c r="AN56" i="18"/>
  <c r="AX76" i="14"/>
  <c r="N76" i="14" s="1"/>
  <c r="K76" i="14"/>
  <c r="L76" i="14"/>
  <c r="M76" i="14" s="1"/>
  <c r="AR77" i="14"/>
  <c r="BD104" i="14"/>
  <c r="BA104" i="14"/>
  <c r="AS44" i="14"/>
  <c r="BE78" i="14"/>
  <c r="AM78" i="14"/>
  <c r="O48" i="14"/>
  <c r="AJ79" i="14"/>
  <c r="BB79" i="14" s="1"/>
  <c r="AN43" i="14"/>
  <c r="Z49" i="18" l="1"/>
  <c r="Z99" i="18" s="1"/>
  <c r="AS56" i="18"/>
  <c r="O55" i="18"/>
  <c r="AN57" i="18"/>
  <c r="BA117" i="18"/>
  <c r="AJ112" i="18"/>
  <c r="BE111" i="18"/>
  <c r="AT51" i="18" s="1"/>
  <c r="AY51" i="18" s="1"/>
  <c r="AA51" i="18" s="1"/>
  <c r="BB111" i="18"/>
  <c r="AO51" i="18" s="1"/>
  <c r="AX77" i="14"/>
  <c r="N77" i="14" s="1"/>
  <c r="K77" i="14"/>
  <c r="L77" i="14"/>
  <c r="M77" i="14" s="1"/>
  <c r="AR78" i="14"/>
  <c r="BD105" i="14"/>
  <c r="BA105" i="14"/>
  <c r="AS45" i="14"/>
  <c r="BE79" i="14"/>
  <c r="AM79" i="14"/>
  <c r="AJ80" i="14"/>
  <c r="BB80" i="14" s="1"/>
  <c r="AN44" i="14"/>
  <c r="O49" i="14"/>
  <c r="AN58" i="18" l="1"/>
  <c r="O56" i="18"/>
  <c r="AJ113" i="18"/>
  <c r="BE112" i="18"/>
  <c r="AT52" i="18" s="1"/>
  <c r="AY52" i="18" s="1"/>
  <c r="AA52" i="18" s="1"/>
  <c r="BB112" i="18"/>
  <c r="AO52" i="18" s="1"/>
  <c r="BA118" i="18"/>
  <c r="AS57" i="18"/>
  <c r="AX78" i="14"/>
  <c r="N78" i="14" s="1"/>
  <c r="AR79" i="14"/>
  <c r="BD106" i="14"/>
  <c r="BA106" i="14"/>
  <c r="AS46" i="14"/>
  <c r="BE80" i="14"/>
  <c r="AM80" i="14"/>
  <c r="O50" i="14"/>
  <c r="AJ81" i="14"/>
  <c r="BB81" i="14" s="1"/>
  <c r="AN45" i="14"/>
  <c r="BE113" i="18" l="1"/>
  <c r="AT53" i="18" s="1"/>
  <c r="AY53" i="18" s="1"/>
  <c r="AA53" i="18" s="1"/>
  <c r="AJ114" i="18"/>
  <c r="BB113" i="18"/>
  <c r="AO53" i="18" s="1"/>
  <c r="O57" i="18"/>
  <c r="AS58" i="18"/>
  <c r="BA119" i="18"/>
  <c r="AN59" i="18"/>
  <c r="AX79" i="14"/>
  <c r="N79" i="14" s="1"/>
  <c r="AR80" i="14"/>
  <c r="BD107" i="14"/>
  <c r="BA107" i="14"/>
  <c r="AS47" i="14"/>
  <c r="BE81" i="14"/>
  <c r="AM81" i="14"/>
  <c r="O51" i="14"/>
  <c r="AN46" i="14"/>
  <c r="AJ82" i="14"/>
  <c r="BB82" i="14" s="1"/>
  <c r="AN60" i="18" l="1"/>
  <c r="O58" i="18"/>
  <c r="AS59" i="18"/>
  <c r="BE114" i="18"/>
  <c r="AT54" i="18" s="1"/>
  <c r="AY54" i="18" s="1"/>
  <c r="AA54" i="18" s="1"/>
  <c r="AJ115" i="18"/>
  <c r="BB114" i="18"/>
  <c r="AO54" i="18" s="1"/>
  <c r="BA120" i="18"/>
  <c r="AX80" i="14"/>
  <c r="N80" i="14" s="1"/>
  <c r="AR81" i="14"/>
  <c r="BD108" i="14"/>
  <c r="BA108" i="14"/>
  <c r="AS48" i="14"/>
  <c r="BE82" i="14"/>
  <c r="AM82" i="14"/>
  <c r="O52" i="14"/>
  <c r="AJ83" i="14"/>
  <c r="BB83" i="14" s="1"/>
  <c r="AN47" i="14"/>
  <c r="O59" i="18" l="1"/>
  <c r="BA121" i="18"/>
  <c r="BE115" i="18"/>
  <c r="AT55" i="18" s="1"/>
  <c r="AY55" i="18" s="1"/>
  <c r="AA55" i="18" s="1"/>
  <c r="AJ116" i="18"/>
  <c r="BB115" i="18"/>
  <c r="AO55" i="18" s="1"/>
  <c r="AS60" i="18"/>
  <c r="AN61" i="18"/>
  <c r="AX81" i="14"/>
  <c r="N81" i="14" s="1"/>
  <c r="AR82" i="14"/>
  <c r="BD109" i="14"/>
  <c r="BA109" i="14"/>
  <c r="AS49" i="14"/>
  <c r="BE83" i="14"/>
  <c r="AM83" i="14"/>
  <c r="AJ84" i="14"/>
  <c r="BB84" i="14" s="1"/>
  <c r="O53" i="14"/>
  <c r="AN48" i="14"/>
  <c r="BE116" i="18" l="1"/>
  <c r="AT56" i="18" s="1"/>
  <c r="AY56" i="18" s="1"/>
  <c r="AA56" i="18" s="1"/>
  <c r="AJ117" i="18"/>
  <c r="BB116" i="18"/>
  <c r="AO56" i="18" s="1"/>
  <c r="BA122" i="18"/>
  <c r="AN62" i="18"/>
  <c r="AS61" i="18"/>
  <c r="O60" i="18"/>
  <c r="AX82" i="14"/>
  <c r="N82" i="14" s="1"/>
  <c r="AR83" i="14"/>
  <c r="BD110" i="14"/>
  <c r="BA110" i="14"/>
  <c r="AS50" i="14"/>
  <c r="BE84" i="14"/>
  <c r="AM84" i="14"/>
  <c r="AN49" i="14"/>
  <c r="AJ85" i="14"/>
  <c r="BB85" i="14" s="1"/>
  <c r="O54" i="14"/>
  <c r="AS62" i="18" l="1"/>
  <c r="AN63" i="18"/>
  <c r="BA123" i="18"/>
  <c r="AJ118" i="18"/>
  <c r="BE117" i="18"/>
  <c r="AT57" i="18" s="1"/>
  <c r="AY57" i="18" s="1"/>
  <c r="AA57" i="18" s="1"/>
  <c r="BB117" i="18"/>
  <c r="AO57" i="18" s="1"/>
  <c r="O61" i="18"/>
  <c r="AX83" i="14"/>
  <c r="N83" i="14" s="1"/>
  <c r="AR84" i="14"/>
  <c r="BD111" i="14"/>
  <c r="BA111" i="14"/>
  <c r="AS51" i="14"/>
  <c r="BE85" i="14"/>
  <c r="AM85" i="14"/>
  <c r="O55" i="14"/>
  <c r="AJ86" i="14"/>
  <c r="BB86" i="14" s="1"/>
  <c r="AN50" i="14"/>
  <c r="BE118" i="18" l="1"/>
  <c r="AT58" i="18" s="1"/>
  <c r="AY58" i="18" s="1"/>
  <c r="AA58" i="18" s="1"/>
  <c r="AJ119" i="18"/>
  <c r="BB118" i="18"/>
  <c r="AO58" i="18" s="1"/>
  <c r="BA124" i="18"/>
  <c r="O62" i="18"/>
  <c r="AN64" i="18"/>
  <c r="AS63" i="18"/>
  <c r="AX84" i="14"/>
  <c r="BD112" i="14"/>
  <c r="BA112" i="14"/>
  <c r="AS52" i="14"/>
  <c r="AR85" i="14"/>
  <c r="BE86" i="14"/>
  <c r="AM86" i="14"/>
  <c r="S39" i="20" s="1"/>
  <c r="AN51" i="14"/>
  <c r="AJ87" i="14"/>
  <c r="BB87" i="14" s="1"/>
  <c r="O56" i="14"/>
  <c r="O63" i="18" l="1"/>
  <c r="BA125" i="18"/>
  <c r="AS64" i="18"/>
  <c r="AJ120" i="18"/>
  <c r="BE119" i="18"/>
  <c r="AT59" i="18" s="1"/>
  <c r="AY59" i="18" s="1"/>
  <c r="AA59" i="18" s="1"/>
  <c r="BB119" i="18"/>
  <c r="AO59" i="18" s="1"/>
  <c r="AN65" i="18"/>
  <c r="N84" i="14"/>
  <c r="K84" i="14"/>
  <c r="L84" i="14"/>
  <c r="M84" i="14" s="1"/>
  <c r="AR86" i="14"/>
  <c r="BD113" i="14"/>
  <c r="BA113" i="14"/>
  <c r="AS53" i="14"/>
  <c r="AX85" i="14"/>
  <c r="N85" i="14" s="1"/>
  <c r="AV86" i="14"/>
  <c r="BE87" i="14"/>
  <c r="H40" i="20" s="1"/>
  <c r="AM87" i="14"/>
  <c r="AN52" i="14"/>
  <c r="AJ88" i="14"/>
  <c r="BB88" i="14" s="1"/>
  <c r="O57" i="14"/>
  <c r="BE120" i="18" l="1"/>
  <c r="AT60" i="18" s="1"/>
  <c r="AY60" i="18" s="1"/>
  <c r="AA60" i="18" s="1"/>
  <c r="AJ121" i="18"/>
  <c r="BB120" i="18"/>
  <c r="AO60" i="18" s="1"/>
  <c r="AS65" i="18"/>
  <c r="BA126" i="18"/>
  <c r="O64" i="18"/>
  <c r="AN66" i="18"/>
  <c r="AX86" i="14"/>
  <c r="AR87" i="14"/>
  <c r="BD114" i="14"/>
  <c r="BA114" i="14"/>
  <c r="AS54" i="14"/>
  <c r="BE88" i="14"/>
  <c r="AM88" i="14"/>
  <c r="O58" i="14"/>
  <c r="AJ89" i="14"/>
  <c r="BB89" i="14" s="1"/>
  <c r="AN53" i="14"/>
  <c r="BA127" i="18" l="1"/>
  <c r="AN67" i="18"/>
  <c r="O65" i="18"/>
  <c r="AS66" i="18"/>
  <c r="BE121" i="18"/>
  <c r="AT61" i="18" s="1"/>
  <c r="AY61" i="18" s="1"/>
  <c r="AA61" i="18" s="1"/>
  <c r="AJ122" i="18"/>
  <c r="BB121" i="18"/>
  <c r="AO61" i="18" s="1"/>
  <c r="AV87" i="14"/>
  <c r="AX87" i="14" s="1"/>
  <c r="N87" i="14" s="1"/>
  <c r="N86" i="14"/>
  <c r="L39" i="20" s="1"/>
  <c r="L86" i="14"/>
  <c r="M86" i="14" s="1"/>
  <c r="K86" i="14"/>
  <c r="K87" i="14"/>
  <c r="AR88" i="14"/>
  <c r="BD115" i="14"/>
  <c r="BA115" i="14"/>
  <c r="AS55" i="14"/>
  <c r="BE89" i="14"/>
  <c r="AM89" i="14"/>
  <c r="AJ90" i="14"/>
  <c r="BB90" i="14" s="1"/>
  <c r="O59" i="14"/>
  <c r="AN54" i="14"/>
  <c r="L87" i="14" l="1"/>
  <c r="M87" i="14" s="1"/>
  <c r="AS67" i="18"/>
  <c r="O66" i="18"/>
  <c r="BE122" i="18"/>
  <c r="AT62" i="18" s="1"/>
  <c r="AY62" i="18" s="1"/>
  <c r="AA62" i="18" s="1"/>
  <c r="AJ123" i="18"/>
  <c r="BB122" i="18"/>
  <c r="AO62" i="18" s="1"/>
  <c r="AN68" i="18"/>
  <c r="BA128" i="18"/>
  <c r="AX88" i="14"/>
  <c r="N88" i="14" s="1"/>
  <c r="AR89" i="14"/>
  <c r="BD116" i="14"/>
  <c r="BA116" i="14"/>
  <c r="AS56" i="14"/>
  <c r="BE90" i="14"/>
  <c r="AM90" i="14"/>
  <c r="O60" i="14"/>
  <c r="AJ91" i="14"/>
  <c r="BB91" i="14" s="1"/>
  <c r="AN55" i="14"/>
  <c r="AJ124" i="18" l="1"/>
  <c r="BE123" i="18"/>
  <c r="AT63" i="18" s="1"/>
  <c r="AY63" i="18" s="1"/>
  <c r="AA63" i="18" s="1"/>
  <c r="BB123" i="18"/>
  <c r="AO63" i="18" s="1"/>
  <c r="O67" i="18"/>
  <c r="BA129" i="18"/>
  <c r="AN69" i="18"/>
  <c r="AS68" i="18"/>
  <c r="AX89" i="14"/>
  <c r="N89" i="14" s="1"/>
  <c r="L89" i="14"/>
  <c r="M89" i="14" s="1"/>
  <c r="K89" i="14"/>
  <c r="AR90" i="14"/>
  <c r="BD117" i="14"/>
  <c r="BA117" i="14"/>
  <c r="AS57" i="14"/>
  <c r="BE91" i="14"/>
  <c r="AM91" i="14"/>
  <c r="AN56" i="14"/>
  <c r="AJ92" i="14"/>
  <c r="BB92" i="14" s="1"/>
  <c r="O61" i="14"/>
  <c r="O68" i="18" l="1"/>
  <c r="AS69" i="18"/>
  <c r="BA130" i="18"/>
  <c r="AN70" i="18"/>
  <c r="AJ125" i="18"/>
  <c r="BE124" i="18"/>
  <c r="AT64" i="18" s="1"/>
  <c r="AY64" i="18" s="1"/>
  <c r="AA64" i="18" s="1"/>
  <c r="BB124" i="18"/>
  <c r="AO64" i="18" s="1"/>
  <c r="AX90" i="14"/>
  <c r="N90" i="14" s="1"/>
  <c r="K90" i="14"/>
  <c r="L90" i="14"/>
  <c r="M90" i="14" s="1"/>
  <c r="AR91" i="14"/>
  <c r="BD118" i="14"/>
  <c r="BA118" i="14"/>
  <c r="AS58" i="14"/>
  <c r="BE92" i="14"/>
  <c r="AM92" i="14"/>
  <c r="AJ93" i="14"/>
  <c r="BB93" i="14" s="1"/>
  <c r="O62" i="14"/>
  <c r="AN57" i="14"/>
  <c r="BA131" i="18" l="1"/>
  <c r="O69" i="18"/>
  <c r="AS70" i="18"/>
  <c r="AJ126" i="18"/>
  <c r="BE125" i="18"/>
  <c r="AT65" i="18" s="1"/>
  <c r="AY65" i="18" s="1"/>
  <c r="AA65" i="18" s="1"/>
  <c r="BB125" i="18"/>
  <c r="AO65" i="18" s="1"/>
  <c r="AN71" i="18"/>
  <c r="AX91" i="14"/>
  <c r="N91" i="14" s="1"/>
  <c r="AR92" i="14"/>
  <c r="BD119" i="14"/>
  <c r="BA119" i="14"/>
  <c r="AS59" i="14"/>
  <c r="BE93" i="14"/>
  <c r="AM93" i="14"/>
  <c r="AN58" i="14"/>
  <c r="O63" i="14"/>
  <c r="AJ94" i="14"/>
  <c r="BB94" i="14" s="1"/>
  <c r="AS71" i="18" l="1"/>
  <c r="BE126" i="18"/>
  <c r="AT66" i="18" s="1"/>
  <c r="AY66" i="18" s="1"/>
  <c r="AA66" i="18" s="1"/>
  <c r="AJ127" i="18"/>
  <c r="BB126" i="18"/>
  <c r="AO66" i="18" s="1"/>
  <c r="O70" i="18"/>
  <c r="AN72" i="18"/>
  <c r="BA132" i="18"/>
  <c r="AX92" i="14"/>
  <c r="N92" i="14" s="1"/>
  <c r="AR93" i="14"/>
  <c r="BD120" i="14"/>
  <c r="BA120" i="14"/>
  <c r="AS60" i="14"/>
  <c r="BE94" i="14"/>
  <c r="AM94" i="14"/>
  <c r="AJ95" i="14"/>
  <c r="BB95" i="14" s="1"/>
  <c r="O64" i="14"/>
  <c r="AN59" i="14"/>
  <c r="O71" i="18" l="1"/>
  <c r="AN73" i="18"/>
  <c r="BA133" i="18"/>
  <c r="BE127" i="18"/>
  <c r="AT67" i="18" s="1"/>
  <c r="AY67" i="18" s="1"/>
  <c r="AA67" i="18" s="1"/>
  <c r="AJ128" i="18"/>
  <c r="BB127" i="18"/>
  <c r="AO67" i="18" s="1"/>
  <c r="AS72" i="18"/>
  <c r="AX93" i="14"/>
  <c r="N93" i="14" s="1"/>
  <c r="L93" i="14"/>
  <c r="M93" i="14" s="1"/>
  <c r="K93" i="14"/>
  <c r="AR94" i="14"/>
  <c r="BD121" i="14"/>
  <c r="BA121" i="14"/>
  <c r="AS61" i="14"/>
  <c r="BE95" i="14"/>
  <c r="AM95" i="14"/>
  <c r="AN60" i="14"/>
  <c r="O65" i="14"/>
  <c r="AJ96" i="14"/>
  <c r="BB96" i="14" s="1"/>
  <c r="AN74" i="18" l="1"/>
  <c r="BA134" i="18"/>
  <c r="AS73" i="18"/>
  <c r="AJ129" i="18"/>
  <c r="BE128" i="18"/>
  <c r="AT68" i="18" s="1"/>
  <c r="AY68" i="18" s="1"/>
  <c r="AA68" i="18" s="1"/>
  <c r="BB128" i="18"/>
  <c r="AO68" i="18" s="1"/>
  <c r="O72" i="18"/>
  <c r="AX94" i="14"/>
  <c r="N94" i="14" s="1"/>
  <c r="AR95" i="14"/>
  <c r="BD122" i="14"/>
  <c r="BA122" i="14"/>
  <c r="AS62" i="14"/>
  <c r="BE96" i="14"/>
  <c r="AM96" i="14"/>
  <c r="AJ97" i="14"/>
  <c r="BB97" i="14" s="1"/>
  <c r="O66" i="14"/>
  <c r="AN61" i="14"/>
  <c r="AJ130" i="18" l="1"/>
  <c r="BE129" i="18"/>
  <c r="AT69" i="18" s="1"/>
  <c r="AY69" i="18" s="1"/>
  <c r="AA69" i="18" s="1"/>
  <c r="BB129" i="18"/>
  <c r="AO69" i="18" s="1"/>
  <c r="AS74" i="18"/>
  <c r="BA135" i="18"/>
  <c r="O73" i="18"/>
  <c r="AN75" i="18"/>
  <c r="AX95" i="14"/>
  <c r="AR96" i="14"/>
  <c r="BD123" i="14"/>
  <c r="BA123" i="14"/>
  <c r="AS63" i="14"/>
  <c r="BE97" i="14"/>
  <c r="AM97" i="14"/>
  <c r="AN62" i="14"/>
  <c r="O67" i="14"/>
  <c r="AJ98" i="14"/>
  <c r="BB98" i="14" s="1"/>
  <c r="AN76" i="18" l="1"/>
  <c r="O74" i="18"/>
  <c r="BA136" i="18"/>
  <c r="AS75" i="18"/>
  <c r="BE130" i="18"/>
  <c r="AT70" i="18" s="1"/>
  <c r="AY70" i="18" s="1"/>
  <c r="AA70" i="18" s="1"/>
  <c r="AJ131" i="18"/>
  <c r="BB130" i="18"/>
  <c r="AO70" i="18" s="1"/>
  <c r="N95" i="14"/>
  <c r="K95" i="14"/>
  <c r="L95" i="14"/>
  <c r="M95" i="14" s="1"/>
  <c r="AX96" i="14"/>
  <c r="N96" i="14" s="1"/>
  <c r="BD124" i="14"/>
  <c r="BA124" i="14"/>
  <c r="AS64" i="14"/>
  <c r="AR97" i="14"/>
  <c r="BE98" i="14"/>
  <c r="AM98" i="14"/>
  <c r="S40" i="20" s="1"/>
  <c r="AJ99" i="14"/>
  <c r="BB99" i="14" s="1"/>
  <c r="O68" i="14"/>
  <c r="AN63" i="14"/>
  <c r="BA137" i="18" l="1"/>
  <c r="O75" i="18"/>
  <c r="BE131" i="18"/>
  <c r="AT71" i="18" s="1"/>
  <c r="AY71" i="18" s="1"/>
  <c r="AA71" i="18" s="1"/>
  <c r="AJ132" i="18"/>
  <c r="BB131" i="18"/>
  <c r="AO71" i="18" s="1"/>
  <c r="AS76" i="18"/>
  <c r="AN77" i="18"/>
  <c r="AR98" i="14"/>
  <c r="BD125" i="14"/>
  <c r="BA125" i="14"/>
  <c r="AS65" i="14"/>
  <c r="AX97" i="14"/>
  <c r="N97" i="14" s="1"/>
  <c r="AV98" i="14"/>
  <c r="J99" i="14"/>
  <c r="BE99" i="14"/>
  <c r="H41" i="20" s="1"/>
  <c r="AO39" i="14"/>
  <c r="AN64" i="14"/>
  <c r="O69" i="14"/>
  <c r="AJ100" i="14"/>
  <c r="BB100" i="14" s="1"/>
  <c r="O76" i="18" l="1"/>
  <c r="BA138" i="18"/>
  <c r="BE132" i="18"/>
  <c r="AT72" i="18" s="1"/>
  <c r="AY72" i="18" s="1"/>
  <c r="AA72" i="18" s="1"/>
  <c r="AJ133" i="18"/>
  <c r="BB132" i="18"/>
  <c r="AO72" i="18" s="1"/>
  <c r="AN78" i="18"/>
  <c r="AS77" i="18"/>
  <c r="AX98" i="14"/>
  <c r="N98" i="14" s="1"/>
  <c r="AT39" i="14"/>
  <c r="BD126" i="14"/>
  <c r="BA126" i="14"/>
  <c r="AS66" i="14"/>
  <c r="BE100" i="14"/>
  <c r="AO40" i="14"/>
  <c r="AJ101" i="14"/>
  <c r="BB101" i="14" s="1"/>
  <c r="O70" i="14"/>
  <c r="AN65" i="14"/>
  <c r="N99" i="14" l="1"/>
  <c r="L40" i="20"/>
  <c r="BE133" i="18"/>
  <c r="AT73" i="18" s="1"/>
  <c r="AY73" i="18" s="1"/>
  <c r="AA73" i="18" s="1"/>
  <c r="AJ134" i="18"/>
  <c r="BB133" i="18"/>
  <c r="AO73" i="18" s="1"/>
  <c r="BA139" i="18"/>
  <c r="AS78" i="18"/>
  <c r="O77" i="18"/>
  <c r="AN79" i="18"/>
  <c r="AX99" i="14"/>
  <c r="K98" i="14"/>
  <c r="K99" i="14" s="1"/>
  <c r="L98" i="14"/>
  <c r="BD127" i="14"/>
  <c r="AT40" i="14"/>
  <c r="BA127" i="14"/>
  <c r="AS67" i="14"/>
  <c r="BE101" i="14"/>
  <c r="AO41" i="14"/>
  <c r="AN66" i="14"/>
  <c r="O71" i="14"/>
  <c r="AJ102" i="14"/>
  <c r="BB102" i="14" s="1"/>
  <c r="AN80" i="18" l="1"/>
  <c r="O78" i="18"/>
  <c r="AS79" i="18"/>
  <c r="BA140" i="18"/>
  <c r="AJ135" i="18"/>
  <c r="BE134" i="18"/>
  <c r="AT74" i="18" s="1"/>
  <c r="AY74" i="18" s="1"/>
  <c r="AA74" i="18" s="1"/>
  <c r="BB134" i="18"/>
  <c r="AO74" i="18" s="1"/>
  <c r="M98" i="14"/>
  <c r="M99" i="14" s="1"/>
  <c r="L99" i="14"/>
  <c r="AT41" i="14"/>
  <c r="BD128" i="14"/>
  <c r="BA128" i="14"/>
  <c r="AS68" i="14"/>
  <c r="BE102" i="14"/>
  <c r="AO42" i="14"/>
  <c r="AJ103" i="14"/>
  <c r="BB103" i="14" s="1"/>
  <c r="O72" i="14"/>
  <c r="AN67" i="14"/>
  <c r="O79" i="18" l="1"/>
  <c r="AS80" i="18"/>
  <c r="BA141" i="18"/>
  <c r="AJ136" i="18"/>
  <c r="BE135" i="18"/>
  <c r="AT75" i="18" s="1"/>
  <c r="AY75" i="18" s="1"/>
  <c r="AA75" i="18" s="1"/>
  <c r="BB135" i="18"/>
  <c r="AO75" i="18" s="1"/>
  <c r="AN81" i="18"/>
  <c r="AT42" i="14"/>
  <c r="BD129" i="14"/>
  <c r="BA129" i="14"/>
  <c r="AS69" i="14"/>
  <c r="BE103" i="14"/>
  <c r="AT43" i="14" s="1"/>
  <c r="AO43" i="14"/>
  <c r="O73" i="14"/>
  <c r="AN68" i="14"/>
  <c r="AJ104" i="14"/>
  <c r="BB104" i="14" s="1"/>
  <c r="AJ137" i="18" l="1"/>
  <c r="BE136" i="18"/>
  <c r="AT76" i="18" s="1"/>
  <c r="AY76" i="18" s="1"/>
  <c r="AA76" i="18" s="1"/>
  <c r="BB136" i="18"/>
  <c r="AO76" i="18" s="1"/>
  <c r="O80" i="18"/>
  <c r="AN82" i="18"/>
  <c r="BA142" i="18"/>
  <c r="AS81" i="18"/>
  <c r="BD130" i="14"/>
  <c r="BA130" i="14"/>
  <c r="AS70" i="14"/>
  <c r="BE104" i="14"/>
  <c r="AO44" i="14"/>
  <c r="AJ105" i="14"/>
  <c r="BB105" i="14" s="1"/>
  <c r="AN69" i="14"/>
  <c r="O74" i="14"/>
  <c r="BA143" i="18" l="1"/>
  <c r="AN83" i="18"/>
  <c r="O81" i="18"/>
  <c r="AS82" i="18"/>
  <c r="AJ138" i="18"/>
  <c r="BE137" i="18"/>
  <c r="AT77" i="18" s="1"/>
  <c r="AY77" i="18" s="1"/>
  <c r="AA77" i="18" s="1"/>
  <c r="BB137" i="18"/>
  <c r="AO77" i="18" s="1"/>
  <c r="AT44" i="14"/>
  <c r="BD131" i="14"/>
  <c r="BA131" i="14"/>
  <c r="AS71" i="14"/>
  <c r="BE105" i="14"/>
  <c r="AO45" i="14"/>
  <c r="AJ106" i="14"/>
  <c r="BB106" i="14" s="1"/>
  <c r="O75" i="14"/>
  <c r="AN70" i="14"/>
  <c r="AN84" i="18" l="1"/>
  <c r="O82" i="18"/>
  <c r="BE138" i="18"/>
  <c r="AT78" i="18" s="1"/>
  <c r="AY78" i="18" s="1"/>
  <c r="AA78" i="18" s="1"/>
  <c r="AJ139" i="18"/>
  <c r="BB138" i="18"/>
  <c r="AO78" i="18" s="1"/>
  <c r="AS83" i="18"/>
  <c r="BA144" i="18"/>
  <c r="AT45" i="14"/>
  <c r="BD132" i="14"/>
  <c r="BA132" i="14"/>
  <c r="AS72" i="14"/>
  <c r="BE106" i="14"/>
  <c r="AO46" i="14"/>
  <c r="O76" i="14"/>
  <c r="AN71" i="14"/>
  <c r="AJ107" i="14"/>
  <c r="BB107" i="14" s="1"/>
  <c r="BE139" i="18" l="1"/>
  <c r="AT79" i="18" s="1"/>
  <c r="AY79" i="18" s="1"/>
  <c r="AA79" i="18" s="1"/>
  <c r="AJ140" i="18"/>
  <c r="BB139" i="18"/>
  <c r="AO79" i="18" s="1"/>
  <c r="O83" i="18"/>
  <c r="BA145" i="18"/>
  <c r="AN85" i="18"/>
  <c r="AS84" i="18"/>
  <c r="AT46" i="14"/>
  <c r="BD133" i="14"/>
  <c r="BA133" i="14"/>
  <c r="AS73" i="14"/>
  <c r="BE107" i="14"/>
  <c r="AO47" i="14"/>
  <c r="AJ108" i="14"/>
  <c r="BB108" i="14" s="1"/>
  <c r="AN72" i="14"/>
  <c r="O77" i="14"/>
  <c r="BA146" i="18" l="1"/>
  <c r="O84" i="18"/>
  <c r="AS85" i="18"/>
  <c r="AN86" i="18"/>
  <c r="BE140" i="18"/>
  <c r="AT80" i="18" s="1"/>
  <c r="AY80" i="18" s="1"/>
  <c r="AA80" i="18" s="1"/>
  <c r="AJ141" i="18"/>
  <c r="BB140" i="18"/>
  <c r="AO80" i="18" s="1"/>
  <c r="AT47" i="14"/>
  <c r="BD134" i="14"/>
  <c r="BA134" i="14"/>
  <c r="AS74" i="14"/>
  <c r="BE108" i="14"/>
  <c r="AO48" i="14"/>
  <c r="AJ109" i="14"/>
  <c r="BB109" i="14" s="1"/>
  <c r="O78" i="14"/>
  <c r="AN73" i="14"/>
  <c r="AJ142" i="18" l="1"/>
  <c r="BE141" i="18"/>
  <c r="AT81" i="18" s="1"/>
  <c r="AY81" i="18" s="1"/>
  <c r="AA81" i="18" s="1"/>
  <c r="BB141" i="18"/>
  <c r="AO81" i="18" s="1"/>
  <c r="AS86" i="18"/>
  <c r="O85" i="18"/>
  <c r="BA147" i="18"/>
  <c r="AN87" i="18"/>
  <c r="AT48" i="14"/>
  <c r="BD135" i="14"/>
  <c r="BA135" i="14"/>
  <c r="AS75" i="14"/>
  <c r="BE109" i="14"/>
  <c r="AO49" i="14"/>
  <c r="O79" i="14"/>
  <c r="AN74" i="14"/>
  <c r="AJ110" i="14"/>
  <c r="BB110" i="14" s="1"/>
  <c r="BA148" i="18" l="1"/>
  <c r="AS87" i="18"/>
  <c r="O86" i="18"/>
  <c r="AN88" i="18"/>
  <c r="AJ143" i="18"/>
  <c r="BE142" i="18"/>
  <c r="AT82" i="18" s="1"/>
  <c r="AY82" i="18" s="1"/>
  <c r="AA82" i="18" s="1"/>
  <c r="BB142" i="18"/>
  <c r="AO82" i="18" s="1"/>
  <c r="AT49" i="14"/>
  <c r="BD136" i="14"/>
  <c r="BA136" i="14"/>
  <c r="AS76" i="14"/>
  <c r="BE110" i="14"/>
  <c r="AO50" i="14"/>
  <c r="S41" i="20" s="1"/>
  <c r="AJ111" i="14"/>
  <c r="BB111" i="14" s="1"/>
  <c r="AN75" i="14"/>
  <c r="O80" i="14"/>
  <c r="AN89" i="18" l="1"/>
  <c r="AS88" i="18"/>
  <c r="BE143" i="18"/>
  <c r="AT83" i="18" s="1"/>
  <c r="AY83" i="18" s="1"/>
  <c r="AA83" i="18" s="1"/>
  <c r="AJ144" i="18"/>
  <c r="BB143" i="18"/>
  <c r="AO83" i="18" s="1"/>
  <c r="BA149" i="18"/>
  <c r="AT50" i="14"/>
  <c r="BD137" i="14"/>
  <c r="BA137" i="14"/>
  <c r="AS77" i="14"/>
  <c r="BE111" i="14"/>
  <c r="H42" i="20" s="1"/>
  <c r="AO51" i="14"/>
  <c r="O81" i="14"/>
  <c r="AN76" i="14"/>
  <c r="AJ112" i="14"/>
  <c r="BB112" i="14" s="1"/>
  <c r="BE144" i="18" l="1"/>
  <c r="AT84" i="18" s="1"/>
  <c r="AY84" i="18" s="1"/>
  <c r="AA84" i="18" s="1"/>
  <c r="AJ145" i="18"/>
  <c r="BB144" i="18"/>
  <c r="AO84" i="18" s="1"/>
  <c r="AS89" i="18"/>
  <c r="AN90" i="18"/>
  <c r="BA150" i="18"/>
  <c r="AT51" i="14"/>
  <c r="BD138" i="14"/>
  <c r="BA138" i="14"/>
  <c r="AS78" i="14"/>
  <c r="BE112" i="14"/>
  <c r="AO52" i="14"/>
  <c r="AJ113" i="14"/>
  <c r="BB113" i="14" s="1"/>
  <c r="AN77" i="14"/>
  <c r="O82" i="14"/>
  <c r="AS90" i="18" l="1"/>
  <c r="BA151" i="18"/>
  <c r="AJ146" i="18"/>
  <c r="BE145" i="18"/>
  <c r="AT85" i="18" s="1"/>
  <c r="AY85" i="18" s="1"/>
  <c r="AA85" i="18" s="1"/>
  <c r="BB145" i="18"/>
  <c r="AO85" i="18" s="1"/>
  <c r="AN91" i="18"/>
  <c r="BD139" i="14"/>
  <c r="AT52" i="14"/>
  <c r="BA139" i="14"/>
  <c r="AS79" i="14"/>
  <c r="BE113" i="14"/>
  <c r="AT53" i="14" s="1"/>
  <c r="AO53" i="14"/>
  <c r="O83" i="14"/>
  <c r="AN78" i="14"/>
  <c r="AJ114" i="14"/>
  <c r="BB114" i="14" s="1"/>
  <c r="BE146" i="18" l="1"/>
  <c r="AT86" i="18" s="1"/>
  <c r="AY86" i="18" s="1"/>
  <c r="AA86" i="18" s="1"/>
  <c r="AJ147" i="18"/>
  <c r="AJ148" i="18" s="1"/>
  <c r="AJ149" i="18" s="1"/>
  <c r="AJ150" i="18" s="1"/>
  <c r="AJ151" i="18" s="1"/>
  <c r="AJ152" i="18" s="1"/>
  <c r="AJ153" i="18" s="1"/>
  <c r="BB146" i="18"/>
  <c r="AO86" i="18" s="1"/>
  <c r="AN92" i="18"/>
  <c r="BA152" i="18"/>
  <c r="AS91" i="18"/>
  <c r="BD140" i="14"/>
  <c r="BA140" i="14"/>
  <c r="AS80" i="14"/>
  <c r="BE114" i="14"/>
  <c r="AO54" i="14"/>
  <c r="AJ115" i="14"/>
  <c r="BB115" i="14" s="1"/>
  <c r="AN79" i="14"/>
  <c r="O84" i="14"/>
  <c r="AS92" i="18" l="1"/>
  <c r="AN93" i="18"/>
  <c r="BE147" i="18"/>
  <c r="AT87" i="18" s="1"/>
  <c r="AY87" i="18" s="1"/>
  <c r="AA87" i="18" s="1"/>
  <c r="BB147" i="18"/>
  <c r="AO87" i="18" s="1"/>
  <c r="BA153" i="18"/>
  <c r="BB153" i="18" s="1"/>
  <c r="AT54" i="14"/>
  <c r="BD141" i="14"/>
  <c r="BA141" i="14"/>
  <c r="AS81" i="14"/>
  <c r="BE115" i="14"/>
  <c r="AO55" i="14"/>
  <c r="O85" i="14"/>
  <c r="AN80" i="14"/>
  <c r="AJ116" i="14"/>
  <c r="BB116" i="14" s="1"/>
  <c r="BE148" i="18" l="1"/>
  <c r="AT88" i="18" s="1"/>
  <c r="AY88" i="18" s="1"/>
  <c r="AA88" i="18" s="1"/>
  <c r="BB148" i="18"/>
  <c r="AO88" i="18" s="1"/>
  <c r="AS93" i="18"/>
  <c r="AT55" i="14"/>
  <c r="BD142" i="14"/>
  <c r="BA142" i="14"/>
  <c r="AS82" i="14"/>
  <c r="BE116" i="14"/>
  <c r="AO56" i="14"/>
  <c r="AN81" i="14"/>
  <c r="AJ117" i="14"/>
  <c r="BB117" i="14" s="1"/>
  <c r="O86" i="14"/>
  <c r="BE149" i="18" l="1"/>
  <c r="AT89" i="18" s="1"/>
  <c r="AY89" i="18" s="1"/>
  <c r="AA89" i="18" s="1"/>
  <c r="BB149" i="18"/>
  <c r="AO89" i="18" s="1"/>
  <c r="AT56" i="14"/>
  <c r="BD143" i="14"/>
  <c r="BA143" i="14"/>
  <c r="AS83" i="14"/>
  <c r="BE117" i="14"/>
  <c r="AO57" i="14"/>
  <c r="O87" i="14"/>
  <c r="AJ118" i="14"/>
  <c r="BB118" i="14" s="1"/>
  <c r="AN82" i="14"/>
  <c r="BE150" i="18" l="1"/>
  <c r="AT90" i="18" s="1"/>
  <c r="AY90" i="18" s="1"/>
  <c r="AA90" i="18" s="1"/>
  <c r="BB150" i="18"/>
  <c r="AO90" i="18" s="1"/>
  <c r="AT57" i="14"/>
  <c r="BD144" i="14"/>
  <c r="BA144" i="14"/>
  <c r="AS84" i="14"/>
  <c r="BE118" i="14"/>
  <c r="AO58" i="14"/>
  <c r="AJ119" i="14"/>
  <c r="BB119" i="14" s="1"/>
  <c r="O88" i="14"/>
  <c r="AN83" i="14"/>
  <c r="BE151" i="18" l="1"/>
  <c r="AT91" i="18" s="1"/>
  <c r="AY91" i="18" s="1"/>
  <c r="AA91" i="18" s="1"/>
  <c r="BB151" i="18"/>
  <c r="AO91" i="18" s="1"/>
  <c r="AT58" i="14"/>
  <c r="BD145" i="14"/>
  <c r="BA145" i="14"/>
  <c r="AS85" i="14"/>
  <c r="BE119" i="14"/>
  <c r="AO59" i="14"/>
  <c r="AN84" i="14"/>
  <c r="O89" i="14"/>
  <c r="AJ120" i="14"/>
  <c r="BB120" i="14" s="1"/>
  <c r="BE152" i="18" l="1"/>
  <c r="AT92" i="18" s="1"/>
  <c r="AY92" i="18" s="1"/>
  <c r="AA92" i="18" s="1"/>
  <c r="BB152" i="18"/>
  <c r="AO92" i="18" s="1"/>
  <c r="AT59" i="14"/>
  <c r="BD146" i="14"/>
  <c r="BA146" i="14"/>
  <c r="AS86" i="14"/>
  <c r="BE120" i="14"/>
  <c r="AO60" i="14"/>
  <c r="O90" i="14"/>
  <c r="AJ121" i="14"/>
  <c r="BB121" i="14" s="1"/>
  <c r="AN85" i="14"/>
  <c r="BE153" i="18" l="1"/>
  <c r="AO93" i="18"/>
  <c r="AT60" i="14"/>
  <c r="BD147" i="14"/>
  <c r="BA147" i="14"/>
  <c r="AS87" i="14"/>
  <c r="BE121" i="14"/>
  <c r="AO61" i="14"/>
  <c r="AJ122" i="14"/>
  <c r="BB122" i="14" s="1"/>
  <c r="AN86" i="14"/>
  <c r="O91" i="14"/>
  <c r="AT93" i="18" l="1"/>
  <c r="AY93" i="18" s="1"/>
  <c r="AA93" i="18" s="1"/>
  <c r="AA99" i="18" s="1"/>
  <c r="BE36" i="18"/>
  <c r="AT61" i="14"/>
  <c r="BD148" i="14"/>
  <c r="BA148" i="14"/>
  <c r="AS88" i="14"/>
  <c r="BE122" i="14"/>
  <c r="AO62" i="14"/>
  <c r="S42" i="20" s="1"/>
  <c r="O92" i="14"/>
  <c r="AN87" i="14"/>
  <c r="AJ123" i="14"/>
  <c r="BB123" i="14" s="1"/>
  <c r="AT62" i="14" l="1"/>
  <c r="BD149" i="14"/>
  <c r="BA149" i="14"/>
  <c r="AS89" i="14"/>
  <c r="BE123" i="14"/>
  <c r="H43" i="20" s="1"/>
  <c r="AO63" i="14"/>
  <c r="AJ124" i="14"/>
  <c r="BB124" i="14" s="1"/>
  <c r="AN88" i="14"/>
  <c r="O93" i="14"/>
  <c r="AT63" i="14" l="1"/>
  <c r="BD150" i="14"/>
  <c r="BA150" i="14"/>
  <c r="AS90" i="14"/>
  <c r="BE124" i="14"/>
  <c r="AO64" i="14"/>
  <c r="O94" i="14"/>
  <c r="AN89" i="14"/>
  <c r="AJ125" i="14"/>
  <c r="BB125" i="14" s="1"/>
  <c r="AT64" i="14" l="1"/>
  <c r="BD151" i="14"/>
  <c r="BA151" i="14"/>
  <c r="AS91" i="14"/>
  <c r="BE125" i="14"/>
  <c r="AO65" i="14"/>
  <c r="AJ126" i="14"/>
  <c r="BB126" i="14" s="1"/>
  <c r="AN90" i="14"/>
  <c r="O95" i="14"/>
  <c r="AT65" i="14" l="1"/>
  <c r="BD152" i="14"/>
  <c r="BA152" i="14"/>
  <c r="AS92" i="14"/>
  <c r="BE126" i="14"/>
  <c r="AO66" i="14"/>
  <c r="O96" i="14"/>
  <c r="AN91" i="14"/>
  <c r="AJ127" i="14"/>
  <c r="BB127" i="14" s="1"/>
  <c r="AT66" i="14" l="1"/>
  <c r="BD153" i="14"/>
  <c r="BA153" i="14"/>
  <c r="AS93" i="14"/>
  <c r="BE127" i="14"/>
  <c r="AO67" i="14"/>
  <c r="AN92" i="14"/>
  <c r="AJ128" i="14"/>
  <c r="BB128" i="14" s="1"/>
  <c r="O97" i="14"/>
  <c r="AY99" i="18" l="1"/>
  <c r="R103" i="18" s="1"/>
  <c r="AT67" i="14"/>
  <c r="BD154" i="14"/>
  <c r="BA154" i="14"/>
  <c r="AS94" i="14"/>
  <c r="BE128" i="14"/>
  <c r="AO68" i="14"/>
  <c r="AJ129" i="14"/>
  <c r="BB129" i="14" s="1"/>
  <c r="AN93" i="14"/>
  <c r="O98" i="14"/>
  <c r="S7" i="18" l="1"/>
  <c r="R104" i="18"/>
  <c r="R105" i="18" s="1"/>
  <c r="AT68" i="14"/>
  <c r="BD155" i="14"/>
  <c r="BA155" i="14"/>
  <c r="AS95" i="14"/>
  <c r="BE129" i="14"/>
  <c r="AO69" i="14"/>
  <c r="AN94" i="14"/>
  <c r="AJ130" i="14"/>
  <c r="BB130" i="14" s="1"/>
  <c r="AO101" i="18" l="1"/>
  <c r="S8" i="18"/>
  <c r="AT69" i="14"/>
  <c r="BD156" i="14"/>
  <c r="BA156" i="14"/>
  <c r="AS96" i="14"/>
  <c r="BE130" i="14"/>
  <c r="AO70" i="14"/>
  <c r="AN95" i="14"/>
  <c r="AJ131" i="14"/>
  <c r="BB131" i="14" s="1"/>
  <c r="U90" i="18" l="1"/>
  <c r="R82" i="18"/>
  <c r="R79" i="18"/>
  <c r="S76" i="18"/>
  <c r="T76" i="18" s="1"/>
  <c r="U70" i="18"/>
  <c r="V64" i="18"/>
  <c r="V61" i="18"/>
  <c r="S50" i="18"/>
  <c r="T50" i="18" s="1"/>
  <c r="U47" i="18"/>
  <c r="U44" i="18"/>
  <c r="V41" i="18"/>
  <c r="V81" i="18"/>
  <c r="V78" i="18"/>
  <c r="R76" i="18"/>
  <c r="R73" i="18"/>
  <c r="S70" i="18"/>
  <c r="T70" i="18" s="1"/>
  <c r="U64" i="18"/>
  <c r="V58" i="18"/>
  <c r="V55" i="18"/>
  <c r="R50" i="18"/>
  <c r="S47" i="18"/>
  <c r="T47" i="18" s="1"/>
  <c r="U41" i="18"/>
  <c r="S90" i="18"/>
  <c r="T90" i="18" s="1"/>
  <c r="U81" i="18"/>
  <c r="U78" i="18"/>
  <c r="V75" i="18"/>
  <c r="V72" i="18"/>
  <c r="R70" i="18"/>
  <c r="S64" i="18"/>
  <c r="T64" i="18" s="1"/>
  <c r="S61" i="18"/>
  <c r="T61" i="18" s="1"/>
  <c r="U58" i="18"/>
  <c r="U55" i="18"/>
  <c r="V52" i="18"/>
  <c r="V49" i="18"/>
  <c r="R47" i="18"/>
  <c r="S41" i="18"/>
  <c r="T41" i="18" s="1"/>
  <c r="V92" i="18"/>
  <c r="R90" i="18"/>
  <c r="S84" i="18"/>
  <c r="T84" i="18" s="1"/>
  <c r="S81" i="18"/>
  <c r="T81" i="18" s="1"/>
  <c r="U75" i="18"/>
  <c r="U72" i="18"/>
  <c r="V69" i="18"/>
  <c r="V66" i="18"/>
  <c r="R61" i="18"/>
  <c r="S58" i="18"/>
  <c r="T58" i="18" s="1"/>
  <c r="S55" i="18"/>
  <c r="T55" i="18" s="1"/>
  <c r="U52" i="18"/>
  <c r="U49" i="18"/>
  <c r="R41" i="18"/>
  <c r="U92" i="18"/>
  <c r="V86" i="18"/>
  <c r="R84" i="18"/>
  <c r="R81" i="18"/>
  <c r="U91" i="18"/>
  <c r="S86" i="18"/>
  <c r="T86" i="18" s="1"/>
  <c r="S82" i="18"/>
  <c r="T82" i="18" s="1"/>
  <c r="S77" i="18"/>
  <c r="T77" i="18" s="1"/>
  <c r="U68" i="18"/>
  <c r="V63" i="18"/>
  <c r="R60" i="18"/>
  <c r="R55" i="18"/>
  <c r="S51" i="18"/>
  <c r="T51" i="18" s="1"/>
  <c r="U42" i="18"/>
  <c r="S91" i="18"/>
  <c r="T91" i="18" s="1"/>
  <c r="R86" i="18"/>
  <c r="R77" i="18"/>
  <c r="S72" i="18"/>
  <c r="T72" i="18" s="1"/>
  <c r="S68" i="18"/>
  <c r="T68" i="18" s="1"/>
  <c r="U63" i="18"/>
  <c r="V54" i="18"/>
  <c r="R51" i="18"/>
  <c r="R91" i="18"/>
  <c r="V85" i="18"/>
  <c r="V76" i="18"/>
  <c r="R72" i="18"/>
  <c r="R68" i="18"/>
  <c r="S63" i="18"/>
  <c r="T63" i="18" s="1"/>
  <c r="U54" i="18"/>
  <c r="V50" i="18"/>
  <c r="S42" i="18"/>
  <c r="T42" i="18" s="1"/>
  <c r="V90" i="18"/>
  <c r="U85" i="18"/>
  <c r="U76" i="18"/>
  <c r="V71" i="18"/>
  <c r="R63" i="18"/>
  <c r="U50" i="18"/>
  <c r="R42" i="18"/>
  <c r="S85" i="18"/>
  <c r="T85" i="18" s="1"/>
  <c r="R80" i="18"/>
  <c r="S75" i="18"/>
  <c r="T75" i="18" s="1"/>
  <c r="U71" i="18"/>
  <c r="U66" i="18"/>
  <c r="V62" i="18"/>
  <c r="R58" i="18"/>
  <c r="S54" i="18"/>
  <c r="T54" i="18" s="1"/>
  <c r="S49" i="18"/>
  <c r="T49" i="18" s="1"/>
  <c r="V40" i="18"/>
  <c r="R85" i="18"/>
  <c r="V79" i="18"/>
  <c r="R75" i="18"/>
  <c r="S71" i="18"/>
  <c r="T71" i="18" s="1"/>
  <c r="U62" i="18"/>
  <c r="V57" i="18"/>
  <c r="R49" i="18"/>
  <c r="U40" i="18"/>
  <c r="V83" i="18"/>
  <c r="U79" i="18"/>
  <c r="V74" i="18"/>
  <c r="S62" i="18"/>
  <c r="T62" i="18" s="1"/>
  <c r="U57" i="18"/>
  <c r="R62" i="18"/>
  <c r="S52" i="18"/>
  <c r="T52" i="18" s="1"/>
  <c r="U43" i="18"/>
  <c r="V60" i="18"/>
  <c r="R52" i="18"/>
  <c r="V82" i="18"/>
  <c r="U60" i="18"/>
  <c r="V51" i="18"/>
  <c r="S92" i="18"/>
  <c r="T92" i="18" s="1"/>
  <c r="U51" i="18"/>
  <c r="S79" i="18"/>
  <c r="T79" i="18" s="1"/>
  <c r="S60" i="18"/>
  <c r="T60" i="18" s="1"/>
  <c r="S40" i="18"/>
  <c r="T40" i="18" s="1"/>
  <c r="V91" i="18"/>
  <c r="R69" i="18"/>
  <c r="S57" i="18"/>
  <c r="T57" i="18" s="1"/>
  <c r="R40" i="18"/>
  <c r="R78" i="18"/>
  <c r="V39" i="18"/>
  <c r="V77" i="18"/>
  <c r="U39" i="18"/>
  <c r="U77" i="18"/>
  <c r="R48" i="18"/>
  <c r="V47" i="18"/>
  <c r="U86" i="18"/>
  <c r="S74" i="18"/>
  <c r="T74" i="18" s="1"/>
  <c r="V53" i="18"/>
  <c r="R74" i="18"/>
  <c r="V93" i="18"/>
  <c r="V70" i="18"/>
  <c r="U82" i="18"/>
  <c r="U69" i="18"/>
  <c r="V42" i="18"/>
  <c r="R92" i="18"/>
  <c r="S69" i="18"/>
  <c r="T69" i="18" s="1"/>
  <c r="V48" i="18"/>
  <c r="S78" i="18"/>
  <c r="T78" i="18" s="1"/>
  <c r="U48" i="18"/>
  <c r="V68" i="18"/>
  <c r="R66" i="18"/>
  <c r="S48" i="18"/>
  <c r="T48" i="18" s="1"/>
  <c r="S39" i="18"/>
  <c r="U74" i="18"/>
  <c r="R39" i="18"/>
  <c r="Q72" i="18"/>
  <c r="Q60" i="18"/>
  <c r="Q48" i="18"/>
  <c r="I96" i="18"/>
  <c r="I84" i="18"/>
  <c r="I72" i="18"/>
  <c r="I60" i="18"/>
  <c r="I48" i="18"/>
  <c r="H96" i="18"/>
  <c r="H84" i="18"/>
  <c r="H72" i="18"/>
  <c r="H60" i="18"/>
  <c r="H48" i="18"/>
  <c r="F96" i="18"/>
  <c r="G96" i="18" s="1"/>
  <c r="F84" i="18"/>
  <c r="G84" i="18" s="1"/>
  <c r="F72" i="18"/>
  <c r="G72" i="18" s="1"/>
  <c r="F60" i="18"/>
  <c r="G60" i="18" s="1"/>
  <c r="F48" i="18"/>
  <c r="G48" i="18" s="1"/>
  <c r="E96" i="18"/>
  <c r="E84" i="18"/>
  <c r="E72" i="18"/>
  <c r="E60" i="18"/>
  <c r="E48" i="18"/>
  <c r="D96" i="18"/>
  <c r="D84" i="18"/>
  <c r="D72" i="18"/>
  <c r="D60" i="18"/>
  <c r="D48" i="18"/>
  <c r="Q68" i="18"/>
  <c r="H92" i="18"/>
  <c r="F92" i="18"/>
  <c r="G92" i="18" s="1"/>
  <c r="F44" i="18"/>
  <c r="G44" i="18" s="1"/>
  <c r="E56" i="18"/>
  <c r="D56" i="18"/>
  <c r="I43" i="18"/>
  <c r="F91" i="18"/>
  <c r="G91" i="18" s="1"/>
  <c r="E91" i="18"/>
  <c r="E43" i="18"/>
  <c r="D67" i="18"/>
  <c r="H54" i="18"/>
  <c r="F54" i="18"/>
  <c r="G54" i="18" s="1"/>
  <c r="E54" i="18"/>
  <c r="D66" i="18"/>
  <c r="Q47" i="18"/>
  <c r="I95" i="18"/>
  <c r="I83" i="18"/>
  <c r="I71" i="18"/>
  <c r="I59" i="18"/>
  <c r="I47" i="18"/>
  <c r="H95" i="18"/>
  <c r="H83" i="18"/>
  <c r="H71" i="18"/>
  <c r="H59" i="18"/>
  <c r="H47" i="18"/>
  <c r="F95" i="18"/>
  <c r="G95" i="18" s="1"/>
  <c r="F83" i="18"/>
  <c r="G83" i="18" s="1"/>
  <c r="F71" i="18"/>
  <c r="G71" i="18" s="1"/>
  <c r="F59" i="18"/>
  <c r="G59" i="18" s="1"/>
  <c r="F47" i="18"/>
  <c r="G47" i="18" s="1"/>
  <c r="E95" i="18"/>
  <c r="E83" i="18"/>
  <c r="E71" i="18"/>
  <c r="E59" i="18"/>
  <c r="E47" i="18"/>
  <c r="D95" i="18"/>
  <c r="D83" i="18"/>
  <c r="D71" i="18"/>
  <c r="D59" i="18"/>
  <c r="D47" i="18"/>
  <c r="Q69" i="18"/>
  <c r="Q57" i="18"/>
  <c r="I93" i="18"/>
  <c r="I81" i="18"/>
  <c r="I45" i="18"/>
  <c r="H81" i="18"/>
  <c r="H57" i="18"/>
  <c r="H45" i="18"/>
  <c r="F81" i="18"/>
  <c r="G81" i="18" s="1"/>
  <c r="F45" i="18"/>
  <c r="G45" i="18" s="1"/>
  <c r="E81" i="18"/>
  <c r="E57" i="18"/>
  <c r="D93" i="18"/>
  <c r="D81" i="18"/>
  <c r="D57" i="18"/>
  <c r="Q92" i="18"/>
  <c r="I80" i="18"/>
  <c r="I56" i="18"/>
  <c r="H68" i="18"/>
  <c r="H44" i="18"/>
  <c r="F68" i="18"/>
  <c r="G68" i="18" s="1"/>
  <c r="E80" i="18"/>
  <c r="E44" i="18"/>
  <c r="D80" i="18"/>
  <c r="D44" i="18"/>
  <c r="Q91" i="18"/>
  <c r="Q55" i="18"/>
  <c r="I91" i="18"/>
  <c r="I67" i="18"/>
  <c r="H91" i="18"/>
  <c r="H55" i="18"/>
  <c r="F79" i="18"/>
  <c r="G79" i="18" s="1"/>
  <c r="F43" i="18"/>
  <c r="G43" i="18" s="1"/>
  <c r="E67" i="18"/>
  <c r="D91" i="18"/>
  <c r="D55" i="18"/>
  <c r="Q78" i="18"/>
  <c r="I90" i="18"/>
  <c r="I66" i="18"/>
  <c r="I42" i="18"/>
  <c r="H78" i="18"/>
  <c r="H42" i="18"/>
  <c r="F78" i="18"/>
  <c r="G78" i="18" s="1"/>
  <c r="F42" i="18"/>
  <c r="G42" i="18" s="1"/>
  <c r="E66" i="18"/>
  <c r="D90" i="18"/>
  <c r="D42" i="18"/>
  <c r="I89" i="18"/>
  <c r="Q82" i="18"/>
  <c r="Q70" i="18"/>
  <c r="Q58" i="18"/>
  <c r="I94" i="18"/>
  <c r="I82" i="18"/>
  <c r="I70" i="18"/>
  <c r="I58" i="18"/>
  <c r="I46" i="18"/>
  <c r="H94" i="18"/>
  <c r="H82" i="18"/>
  <c r="H70" i="18"/>
  <c r="H58" i="18"/>
  <c r="H46" i="18"/>
  <c r="F94" i="18"/>
  <c r="G94" i="18" s="1"/>
  <c r="F82" i="18"/>
  <c r="G82" i="18" s="1"/>
  <c r="F70" i="18"/>
  <c r="G70" i="18" s="1"/>
  <c r="F58" i="18"/>
  <c r="G58" i="18" s="1"/>
  <c r="F46" i="18"/>
  <c r="G46" i="18" s="1"/>
  <c r="E94" i="18"/>
  <c r="E82" i="18"/>
  <c r="E70" i="18"/>
  <c r="E58" i="18"/>
  <c r="E46" i="18"/>
  <c r="D94" i="18"/>
  <c r="D82" i="18"/>
  <c r="D70" i="18"/>
  <c r="D58" i="18"/>
  <c r="D46" i="18"/>
  <c r="Q81" i="18"/>
  <c r="I57" i="18"/>
  <c r="H93" i="18"/>
  <c r="F93" i="18"/>
  <c r="G93" i="18" s="1"/>
  <c r="F57" i="18"/>
  <c r="G57" i="18" s="1"/>
  <c r="E93" i="18"/>
  <c r="E45" i="18"/>
  <c r="D45" i="18"/>
  <c r="I92" i="18"/>
  <c r="I68" i="18"/>
  <c r="I44" i="18"/>
  <c r="H80" i="18"/>
  <c r="H56" i="18"/>
  <c r="F80" i="18"/>
  <c r="G80" i="18" s="1"/>
  <c r="F56" i="18"/>
  <c r="G56" i="18" s="1"/>
  <c r="E92" i="18"/>
  <c r="E68" i="18"/>
  <c r="D92" i="18"/>
  <c r="D68" i="18"/>
  <c r="Q79" i="18"/>
  <c r="Q43" i="18"/>
  <c r="I79" i="18"/>
  <c r="I55" i="18"/>
  <c r="H79" i="18"/>
  <c r="H67" i="18"/>
  <c r="H43" i="18"/>
  <c r="F67" i="18"/>
  <c r="G67" i="18" s="1"/>
  <c r="F55" i="18"/>
  <c r="G55" i="18" s="1"/>
  <c r="E79" i="18"/>
  <c r="E55" i="18"/>
  <c r="D79" i="18"/>
  <c r="D43" i="18"/>
  <c r="Q90" i="18"/>
  <c r="Q42" i="18"/>
  <c r="I78" i="18"/>
  <c r="I54" i="18"/>
  <c r="H90" i="18"/>
  <c r="H66" i="18"/>
  <c r="F90" i="18"/>
  <c r="G90" i="18" s="1"/>
  <c r="F66" i="18"/>
  <c r="G66" i="18" s="1"/>
  <c r="E90" i="18"/>
  <c r="E78" i="18"/>
  <c r="E42" i="18"/>
  <c r="D78" i="18"/>
  <c r="D54" i="18"/>
  <c r="Q77" i="18"/>
  <c r="Q41" i="18"/>
  <c r="I65" i="18"/>
  <c r="I53" i="18"/>
  <c r="Q63" i="18"/>
  <c r="I87" i="18"/>
  <c r="I52" i="18"/>
  <c r="H86" i="18"/>
  <c r="H53" i="18"/>
  <c r="F87" i="18"/>
  <c r="G87" i="18" s="1"/>
  <c r="F61" i="18"/>
  <c r="G61" i="18" s="1"/>
  <c r="E88" i="18"/>
  <c r="E62" i="18"/>
  <c r="D89" i="18"/>
  <c r="D63" i="18"/>
  <c r="Q87" i="18"/>
  <c r="I41" i="18"/>
  <c r="H49" i="18"/>
  <c r="F50" i="18"/>
  <c r="G50" i="18" s="1"/>
  <c r="D85" i="18"/>
  <c r="Q86" i="18"/>
  <c r="H74" i="18"/>
  <c r="F75" i="18"/>
  <c r="G75" i="18" s="1"/>
  <c r="E76" i="18"/>
  <c r="E50" i="18"/>
  <c r="D51" i="18"/>
  <c r="Q85" i="18"/>
  <c r="I39" i="18"/>
  <c r="H40" i="18"/>
  <c r="E75" i="18"/>
  <c r="D76" i="18"/>
  <c r="Q76" i="18"/>
  <c r="I73" i="18"/>
  <c r="H65" i="18"/>
  <c r="F73" i="18"/>
  <c r="G73" i="18" s="1"/>
  <c r="F40" i="18"/>
  <c r="G40" i="18" s="1"/>
  <c r="E74" i="18"/>
  <c r="D75" i="18"/>
  <c r="D49" i="18"/>
  <c r="Q75" i="18"/>
  <c r="H64" i="18"/>
  <c r="F65" i="18"/>
  <c r="G65" i="18" s="1"/>
  <c r="E73" i="18"/>
  <c r="E40" i="18"/>
  <c r="D41" i="18"/>
  <c r="Q74" i="18"/>
  <c r="H89" i="18"/>
  <c r="F97" i="18"/>
  <c r="G97" i="18" s="1"/>
  <c r="E98" i="18"/>
  <c r="E39" i="18"/>
  <c r="D40" i="18"/>
  <c r="Q73" i="18"/>
  <c r="I62" i="18"/>
  <c r="H88" i="18"/>
  <c r="H62" i="18"/>
  <c r="F63" i="18"/>
  <c r="G63" i="18" s="1"/>
  <c r="E64" i="18"/>
  <c r="D65" i="18"/>
  <c r="I88" i="18"/>
  <c r="E63" i="18"/>
  <c r="Q62" i="18"/>
  <c r="I86" i="18"/>
  <c r="I51" i="18"/>
  <c r="H85" i="18"/>
  <c r="H52" i="18"/>
  <c r="F86" i="18"/>
  <c r="G86" i="18" s="1"/>
  <c r="F53" i="18"/>
  <c r="G53" i="18" s="1"/>
  <c r="E87" i="18"/>
  <c r="E61" i="18"/>
  <c r="D88" i="18"/>
  <c r="D62" i="18"/>
  <c r="Q52" i="18"/>
  <c r="I77" i="18"/>
  <c r="I49" i="18"/>
  <c r="H76" i="18"/>
  <c r="H50" i="18"/>
  <c r="F77" i="18"/>
  <c r="G77" i="18" s="1"/>
  <c r="F51" i="18"/>
  <c r="G51" i="18" s="1"/>
  <c r="E85" i="18"/>
  <c r="E52" i="18"/>
  <c r="D53" i="18"/>
  <c r="Q51" i="18"/>
  <c r="I85" i="18"/>
  <c r="I50" i="18"/>
  <c r="H77" i="18"/>
  <c r="H51" i="18"/>
  <c r="F85" i="18"/>
  <c r="G85" i="18" s="1"/>
  <c r="F52" i="18"/>
  <c r="G52" i="18" s="1"/>
  <c r="E86" i="18"/>
  <c r="E53" i="18"/>
  <c r="D87" i="18"/>
  <c r="D61" i="18"/>
  <c r="D86" i="18"/>
  <c r="I76" i="18"/>
  <c r="H75" i="18"/>
  <c r="F76" i="18"/>
  <c r="G76" i="18" s="1"/>
  <c r="E77" i="18"/>
  <c r="E51" i="18"/>
  <c r="D52" i="18"/>
  <c r="Q50" i="18"/>
  <c r="I75" i="18"/>
  <c r="I40" i="18"/>
  <c r="H41" i="18"/>
  <c r="F49" i="18"/>
  <c r="G49" i="18" s="1"/>
  <c r="D77" i="18"/>
  <c r="Q49" i="18"/>
  <c r="I74" i="18"/>
  <c r="H73" i="18"/>
  <c r="F74" i="18"/>
  <c r="G74" i="18" s="1"/>
  <c r="F41" i="18"/>
  <c r="G41" i="18" s="1"/>
  <c r="E49" i="18"/>
  <c r="D50" i="18"/>
  <c r="Q40" i="18"/>
  <c r="H98" i="18"/>
  <c r="H39" i="18"/>
  <c r="E41" i="18"/>
  <c r="Q39" i="18"/>
  <c r="I64" i="18"/>
  <c r="H97" i="18"/>
  <c r="F98" i="18"/>
  <c r="G98" i="18" s="1"/>
  <c r="F39" i="18"/>
  <c r="D74" i="18"/>
  <c r="I98" i="18"/>
  <c r="I63" i="18"/>
  <c r="H63" i="18"/>
  <c r="F64" i="18"/>
  <c r="G64" i="18" s="1"/>
  <c r="E65" i="18"/>
  <c r="D73" i="18"/>
  <c r="I97" i="18"/>
  <c r="F89" i="18"/>
  <c r="G89" i="18" s="1"/>
  <c r="E97" i="18"/>
  <c r="D98" i="18"/>
  <c r="D39" i="18"/>
  <c r="I61" i="18"/>
  <c r="H87" i="18"/>
  <c r="H61" i="18"/>
  <c r="F88" i="18"/>
  <c r="G88" i="18" s="1"/>
  <c r="F62" i="18"/>
  <c r="G62" i="18" s="1"/>
  <c r="E89" i="18"/>
  <c r="D97" i="18"/>
  <c r="D64" i="18"/>
  <c r="AO102" i="18"/>
  <c r="U88" i="18" s="1"/>
  <c r="AT70" i="14"/>
  <c r="BD157" i="14"/>
  <c r="BA157" i="14"/>
  <c r="AS97" i="14"/>
  <c r="BE131" i="14"/>
  <c r="AO71" i="14"/>
  <c r="AJ132" i="14"/>
  <c r="BB132" i="14" s="1"/>
  <c r="AN96" i="14"/>
  <c r="D69" i="18" l="1"/>
  <c r="F69" i="18"/>
  <c r="G69" i="18" s="1"/>
  <c r="E69" i="18"/>
  <c r="E99" i="18" s="1"/>
  <c r="I69" i="18"/>
  <c r="I99" i="18" s="1"/>
  <c r="H69" i="18"/>
  <c r="H99" i="18" s="1"/>
  <c r="U61" i="18"/>
  <c r="Q61" i="18"/>
  <c r="BH121" i="18" s="1"/>
  <c r="BK121" i="18" s="1"/>
  <c r="R83" i="18"/>
  <c r="U89" i="18"/>
  <c r="S89" i="18"/>
  <c r="T89" i="18" s="1"/>
  <c r="V89" i="18"/>
  <c r="Q89" i="18"/>
  <c r="BH149" i="18" s="1"/>
  <c r="BK149" i="18" s="1"/>
  <c r="R89" i="18"/>
  <c r="V80" i="18"/>
  <c r="U80" i="18"/>
  <c r="S80" i="18"/>
  <c r="T80" i="18" s="1"/>
  <c r="Q93" i="18"/>
  <c r="BH153" i="18" s="1"/>
  <c r="BK153" i="18" s="1"/>
  <c r="R93" i="18"/>
  <c r="S93" i="18"/>
  <c r="T93" i="18" s="1"/>
  <c r="U93" i="18"/>
  <c r="U84" i="18"/>
  <c r="V84" i="18"/>
  <c r="Q84" i="18"/>
  <c r="BH144" i="18" s="1"/>
  <c r="BK144" i="18" s="1"/>
  <c r="U83" i="18"/>
  <c r="S83" i="18"/>
  <c r="T83" i="18" s="1"/>
  <c r="Q83" i="18"/>
  <c r="BH143" i="18" s="1"/>
  <c r="BK143" i="18" s="1"/>
  <c r="U45" i="18"/>
  <c r="V45" i="18"/>
  <c r="V43" i="18"/>
  <c r="R43" i="18"/>
  <c r="S43" i="18"/>
  <c r="T43" i="18" s="1"/>
  <c r="Q45" i="18"/>
  <c r="BH105" i="18" s="1"/>
  <c r="BK105" i="18" s="1"/>
  <c r="R45" i="18"/>
  <c r="S45" i="18"/>
  <c r="T45" i="18" s="1"/>
  <c r="V44" i="18"/>
  <c r="R44" i="18"/>
  <c r="Q46" i="18"/>
  <c r="BH106" i="18" s="1"/>
  <c r="BK106" i="18" s="1"/>
  <c r="R46" i="18"/>
  <c r="V46" i="18"/>
  <c r="U46" i="18"/>
  <c r="S46" i="18"/>
  <c r="T46" i="18" s="1"/>
  <c r="S44" i="18"/>
  <c r="T44" i="18" s="1"/>
  <c r="Q44" i="18"/>
  <c r="BH104" i="18" s="1"/>
  <c r="BK104" i="18" s="1"/>
  <c r="U56" i="18"/>
  <c r="R57" i="18"/>
  <c r="Q66" i="18"/>
  <c r="BH126" i="18" s="1"/>
  <c r="BK126" i="18" s="1"/>
  <c r="S66" i="18"/>
  <c r="T66" i="18" s="1"/>
  <c r="Q53" i="18"/>
  <c r="BH113" i="18" s="1"/>
  <c r="BK113" i="18" s="1"/>
  <c r="U59" i="18"/>
  <c r="Q59" i="18"/>
  <c r="BH119" i="18" s="1"/>
  <c r="BK119" i="18" s="1"/>
  <c r="S59" i="18"/>
  <c r="T59" i="18" s="1"/>
  <c r="R59" i="18"/>
  <c r="V59" i="18"/>
  <c r="R71" i="18"/>
  <c r="Q71" i="18"/>
  <c r="BH131" i="18" s="1"/>
  <c r="BK131" i="18" s="1"/>
  <c r="V73" i="18"/>
  <c r="S73" i="18"/>
  <c r="T73" i="18" s="1"/>
  <c r="Q80" i="18"/>
  <c r="BH140" i="18" s="1"/>
  <c r="BK140" i="18" s="1"/>
  <c r="U73" i="18"/>
  <c r="U67" i="18"/>
  <c r="S67" i="18"/>
  <c r="T67" i="18" s="1"/>
  <c r="Q67" i="18"/>
  <c r="BH127" i="18" s="1"/>
  <c r="BK127" i="18" s="1"/>
  <c r="R67" i="18"/>
  <c r="V67" i="18"/>
  <c r="R53" i="18"/>
  <c r="U53" i="18"/>
  <c r="S53" i="18"/>
  <c r="T53" i="18" s="1"/>
  <c r="R54" i="18"/>
  <c r="V56" i="18"/>
  <c r="Q56" i="18"/>
  <c r="BH116" i="18" s="1"/>
  <c r="BK116" i="18" s="1"/>
  <c r="S56" i="18"/>
  <c r="T56" i="18" s="1"/>
  <c r="R56" i="18"/>
  <c r="U65" i="18"/>
  <c r="Q65" i="18"/>
  <c r="BH125" i="18" s="1"/>
  <c r="BK125" i="18" s="1"/>
  <c r="R65" i="18"/>
  <c r="S65" i="18"/>
  <c r="T65" i="18" s="1"/>
  <c r="V65" i="18"/>
  <c r="Q64" i="18"/>
  <c r="BH124" i="18" s="1"/>
  <c r="BK124" i="18" s="1"/>
  <c r="R64" i="18"/>
  <c r="Q54" i="18"/>
  <c r="BH114" i="18" s="1"/>
  <c r="BK114" i="18" s="1"/>
  <c r="R87" i="18"/>
  <c r="U87" i="18"/>
  <c r="V87" i="18"/>
  <c r="S87" i="18"/>
  <c r="T87" i="18" s="1"/>
  <c r="R88" i="18"/>
  <c r="Q88" i="18"/>
  <c r="V88" i="18"/>
  <c r="S88" i="18"/>
  <c r="T88" i="18" s="1"/>
  <c r="BH137" i="18"/>
  <c r="BK137" i="18" s="1"/>
  <c r="BH130" i="18"/>
  <c r="BK130" i="18" s="1"/>
  <c r="BH122" i="18"/>
  <c r="BK122" i="18" s="1"/>
  <c r="BH91" i="18"/>
  <c r="BK91" i="18" s="1"/>
  <c r="BH70" i="18"/>
  <c r="BK70" i="18" s="1"/>
  <c r="BH151" i="18"/>
  <c r="BK151" i="18" s="1"/>
  <c r="BH132" i="18"/>
  <c r="BK132" i="18" s="1"/>
  <c r="BH129" i="18"/>
  <c r="BK129" i="18" s="1"/>
  <c r="BH117" i="18"/>
  <c r="BK117" i="18" s="1"/>
  <c r="BH103" i="18"/>
  <c r="BK103" i="18" s="1"/>
  <c r="BH93" i="18"/>
  <c r="BK93" i="18" s="1"/>
  <c r="BH72" i="18"/>
  <c r="BK72" i="18" s="1"/>
  <c r="BH65" i="18"/>
  <c r="BK65" i="18" s="1"/>
  <c r="BH53" i="18"/>
  <c r="BK53" i="18" s="1"/>
  <c r="BH48" i="18"/>
  <c r="BK48" i="18" s="1"/>
  <c r="BH45" i="18"/>
  <c r="BK45" i="18" s="1"/>
  <c r="BH41" i="18"/>
  <c r="BK41" i="18" s="1"/>
  <c r="BH146" i="18"/>
  <c r="BK146" i="18" s="1"/>
  <c r="BH141" i="18"/>
  <c r="BK141" i="18" s="1"/>
  <c r="BH136" i="18"/>
  <c r="BK136" i="18" s="1"/>
  <c r="BH134" i="18"/>
  <c r="BK134" i="18" s="1"/>
  <c r="BH110" i="18"/>
  <c r="BK110" i="18" s="1"/>
  <c r="BH108" i="18"/>
  <c r="BK108" i="18" s="1"/>
  <c r="BH100" i="18"/>
  <c r="BK100" i="18" s="1"/>
  <c r="BH98" i="18"/>
  <c r="BK98" i="18" s="1"/>
  <c r="BH74" i="18"/>
  <c r="BK74" i="18" s="1"/>
  <c r="BH64" i="18"/>
  <c r="BK64" i="18" s="1"/>
  <c r="BH55" i="18"/>
  <c r="BK55" i="18" s="1"/>
  <c r="BH43" i="18"/>
  <c r="BK43" i="18" s="1"/>
  <c r="BH95" i="18"/>
  <c r="BK95" i="18" s="1"/>
  <c r="BH86" i="18"/>
  <c r="BK86" i="18" s="1"/>
  <c r="BH83" i="18"/>
  <c r="BK83" i="18" s="1"/>
  <c r="BH81" i="18"/>
  <c r="BK81" i="18" s="1"/>
  <c r="BH62" i="18"/>
  <c r="BK62" i="18" s="1"/>
  <c r="BH59" i="18"/>
  <c r="BK59" i="18" s="1"/>
  <c r="BH57" i="18"/>
  <c r="BK57" i="18" s="1"/>
  <c r="BH50" i="18"/>
  <c r="BK50" i="18" s="1"/>
  <c r="BH138" i="18"/>
  <c r="BK138" i="18" s="1"/>
  <c r="BH112" i="18"/>
  <c r="BK112" i="18" s="1"/>
  <c r="BH78" i="18"/>
  <c r="BK78" i="18" s="1"/>
  <c r="BH71" i="18"/>
  <c r="BK71" i="18" s="1"/>
  <c r="BH69" i="18"/>
  <c r="BK69" i="18" s="1"/>
  <c r="BH150" i="18"/>
  <c r="BK150" i="18" s="1"/>
  <c r="BH145" i="18"/>
  <c r="BK145" i="18" s="1"/>
  <c r="BH97" i="18"/>
  <c r="BK97" i="18" s="1"/>
  <c r="BH90" i="18"/>
  <c r="BK90" i="18" s="1"/>
  <c r="BH88" i="18"/>
  <c r="BK88" i="18" s="1"/>
  <c r="BH76" i="18"/>
  <c r="BK76" i="18" s="1"/>
  <c r="BH66" i="18"/>
  <c r="BK66" i="18" s="1"/>
  <c r="BH52" i="18"/>
  <c r="BK52" i="18" s="1"/>
  <c r="BH49" i="18"/>
  <c r="BK49" i="18" s="1"/>
  <c r="BH109" i="18"/>
  <c r="BK109" i="18" s="1"/>
  <c r="BH107" i="18"/>
  <c r="BK107" i="18" s="1"/>
  <c r="BH102" i="18"/>
  <c r="BK102" i="18" s="1"/>
  <c r="BH92" i="18"/>
  <c r="BK92" i="18" s="1"/>
  <c r="BH80" i="18"/>
  <c r="BK80" i="18" s="1"/>
  <c r="BH44" i="18"/>
  <c r="BK44" i="18" s="1"/>
  <c r="BH40" i="18"/>
  <c r="BK40" i="18" s="1"/>
  <c r="C40" i="18"/>
  <c r="C41" i="18" s="1"/>
  <c r="C42" i="18" s="1"/>
  <c r="C43" i="18" s="1"/>
  <c r="C44" i="18" s="1"/>
  <c r="C45" i="18" s="1"/>
  <c r="C46" i="18" s="1"/>
  <c r="C47" i="18" s="1"/>
  <c r="C48" i="18" s="1"/>
  <c r="C49" i="18" s="1"/>
  <c r="C50" i="18" s="1"/>
  <c r="C51" i="18" s="1"/>
  <c r="C52" i="18" s="1"/>
  <c r="C53" i="18" s="1"/>
  <c r="C54" i="18" s="1"/>
  <c r="C55" i="18" s="1"/>
  <c r="C56" i="18" s="1"/>
  <c r="C57" i="18" s="1"/>
  <c r="C58" i="18" s="1"/>
  <c r="C59" i="18" s="1"/>
  <c r="C60" i="18" s="1"/>
  <c r="C61" i="18" s="1"/>
  <c r="C62" i="18" s="1"/>
  <c r="C63" i="18" s="1"/>
  <c r="C64" i="18" s="1"/>
  <c r="C65" i="18" s="1"/>
  <c r="C66" i="18" s="1"/>
  <c r="C67" i="18" s="1"/>
  <c r="C68" i="18" s="1"/>
  <c r="C69" i="18" s="1"/>
  <c r="C70" i="18" s="1"/>
  <c r="C71" i="18" s="1"/>
  <c r="C72" i="18" s="1"/>
  <c r="C73" i="18" s="1"/>
  <c r="C74" i="18" s="1"/>
  <c r="C75" i="18" s="1"/>
  <c r="C76" i="18" s="1"/>
  <c r="C77" i="18" s="1"/>
  <c r="C78" i="18" s="1"/>
  <c r="C79" i="18" s="1"/>
  <c r="C80" i="18" s="1"/>
  <c r="C81" i="18" s="1"/>
  <c r="C82" i="18" s="1"/>
  <c r="C83" i="18" s="1"/>
  <c r="C84" i="18" s="1"/>
  <c r="C85" i="18" s="1"/>
  <c r="C86" i="18" s="1"/>
  <c r="C87" i="18" s="1"/>
  <c r="C88" i="18" s="1"/>
  <c r="C89" i="18" s="1"/>
  <c r="C90" i="18" s="1"/>
  <c r="C91" i="18" s="1"/>
  <c r="C92" i="18" s="1"/>
  <c r="C93" i="18" s="1"/>
  <c r="C94" i="18" s="1"/>
  <c r="C95" i="18" s="1"/>
  <c r="C96" i="18" s="1"/>
  <c r="C97" i="18" s="1"/>
  <c r="C98" i="18" s="1"/>
  <c r="P39" i="18" s="1"/>
  <c r="P40" i="18" s="1"/>
  <c r="P41" i="18" s="1"/>
  <c r="P42" i="18" s="1"/>
  <c r="P43" i="18" s="1"/>
  <c r="BH123" i="18"/>
  <c r="BK123" i="18" s="1"/>
  <c r="BH111" i="18"/>
  <c r="BK111" i="18" s="1"/>
  <c r="BH73" i="18"/>
  <c r="BK73" i="18" s="1"/>
  <c r="BH63" i="18"/>
  <c r="BK63" i="18" s="1"/>
  <c r="BH61" i="18"/>
  <c r="BK61" i="18" s="1"/>
  <c r="BH47" i="18"/>
  <c r="BK47" i="18" s="1"/>
  <c r="J8" i="18"/>
  <c r="BH39" i="18"/>
  <c r="D99" i="18"/>
  <c r="BH118" i="18"/>
  <c r="BK118" i="18" s="1"/>
  <c r="BH85" i="18"/>
  <c r="BK85" i="18" s="1"/>
  <c r="BH56" i="18"/>
  <c r="BK56" i="18" s="1"/>
  <c r="BH54" i="18"/>
  <c r="BK54" i="18" s="1"/>
  <c r="BH42" i="18"/>
  <c r="BK42" i="18" s="1"/>
  <c r="G39" i="18"/>
  <c r="BH152" i="18"/>
  <c r="BK152" i="18" s="1"/>
  <c r="BH135" i="18"/>
  <c r="BK135" i="18" s="1"/>
  <c r="BH133" i="18"/>
  <c r="BK133" i="18" s="1"/>
  <c r="T39" i="18"/>
  <c r="BH77" i="18"/>
  <c r="BK77" i="18" s="1"/>
  <c r="BH58" i="18"/>
  <c r="BK58" i="18" s="1"/>
  <c r="BH51" i="18"/>
  <c r="BK51" i="18" s="1"/>
  <c r="BH147" i="18"/>
  <c r="BK147" i="18" s="1"/>
  <c r="BH142" i="18"/>
  <c r="BK142" i="18" s="1"/>
  <c r="BH128" i="18"/>
  <c r="BK128" i="18" s="1"/>
  <c r="BH99" i="18"/>
  <c r="BK99" i="18" s="1"/>
  <c r="BH94" i="18"/>
  <c r="BK94" i="18" s="1"/>
  <c r="BH87" i="18"/>
  <c r="BK87" i="18" s="1"/>
  <c r="BH84" i="18"/>
  <c r="BK84" i="18" s="1"/>
  <c r="BH82" i="18"/>
  <c r="BK82" i="18" s="1"/>
  <c r="BH75" i="18"/>
  <c r="BK75" i="18" s="1"/>
  <c r="BH68" i="18"/>
  <c r="BK68" i="18" s="1"/>
  <c r="BH60" i="18"/>
  <c r="BK60" i="18" s="1"/>
  <c r="BH139" i="18"/>
  <c r="BK139" i="18" s="1"/>
  <c r="BH120" i="18"/>
  <c r="BK120" i="18" s="1"/>
  <c r="BH115" i="18"/>
  <c r="BK115" i="18" s="1"/>
  <c r="BH101" i="18"/>
  <c r="BK101" i="18" s="1"/>
  <c r="BH96" i="18"/>
  <c r="BK96" i="18" s="1"/>
  <c r="BH89" i="18"/>
  <c r="BK89" i="18" s="1"/>
  <c r="BH79" i="18"/>
  <c r="BK79" i="18" s="1"/>
  <c r="BH67" i="18"/>
  <c r="BK67" i="18" s="1"/>
  <c r="BH46" i="18"/>
  <c r="BK46" i="18" s="1"/>
  <c r="AT71" i="14"/>
  <c r="BD158" i="14"/>
  <c r="BA158" i="14"/>
  <c r="AS98" i="14"/>
  <c r="BE132" i="14"/>
  <c r="AO72" i="14"/>
  <c r="AN97" i="14"/>
  <c r="AJ133" i="14"/>
  <c r="BB133" i="14" s="1"/>
  <c r="G99" i="18" l="1"/>
  <c r="F99" i="18"/>
  <c r="P44" i="18"/>
  <c r="P45" i="18" s="1"/>
  <c r="P46" i="18" s="1"/>
  <c r="P47" i="18" s="1"/>
  <c r="P48" i="18" s="1"/>
  <c r="P49" i="18" s="1"/>
  <c r="P50" i="18" s="1"/>
  <c r="P51" i="18" s="1"/>
  <c r="P52" i="18" s="1"/>
  <c r="P53" i="18" s="1"/>
  <c r="P54" i="18" s="1"/>
  <c r="P55" i="18" s="1"/>
  <c r="P56" i="18" s="1"/>
  <c r="P57" i="18" s="1"/>
  <c r="P58" i="18" s="1"/>
  <c r="P59" i="18" s="1"/>
  <c r="P60" i="18" s="1"/>
  <c r="P61" i="18" s="1"/>
  <c r="P62" i="18" s="1"/>
  <c r="P63" i="18" s="1"/>
  <c r="P64" i="18" s="1"/>
  <c r="P65" i="18" s="1"/>
  <c r="P66" i="18" s="1"/>
  <c r="P67" i="18" s="1"/>
  <c r="P68" i="18" s="1"/>
  <c r="P69" i="18" s="1"/>
  <c r="P70" i="18" s="1"/>
  <c r="P71" i="18" s="1"/>
  <c r="P72" i="18" s="1"/>
  <c r="P73" i="18" s="1"/>
  <c r="P74" i="18" s="1"/>
  <c r="P75" i="18" s="1"/>
  <c r="P76" i="18" s="1"/>
  <c r="P77" i="18" s="1"/>
  <c r="P78" i="18" s="1"/>
  <c r="P79" i="18" s="1"/>
  <c r="P80" i="18" s="1"/>
  <c r="P81" i="18" s="1"/>
  <c r="P82" i="18" s="1"/>
  <c r="P83" i="18" s="1"/>
  <c r="P84" i="18" s="1"/>
  <c r="P85" i="18" s="1"/>
  <c r="P86" i="18" s="1"/>
  <c r="P87" i="18" s="1"/>
  <c r="P88" i="18" s="1"/>
  <c r="P89" i="18" s="1"/>
  <c r="P90" i="18" s="1"/>
  <c r="P91" i="18" s="1"/>
  <c r="P92" i="18" s="1"/>
  <c r="P93" i="18" s="1"/>
  <c r="U99" i="18"/>
  <c r="D33" i="18"/>
  <c r="E33" i="18" s="1"/>
  <c r="R99" i="18"/>
  <c r="V99" i="18"/>
  <c r="BH148" i="18"/>
  <c r="BK148" i="18" s="1"/>
  <c r="S99" i="18"/>
  <c r="T99" i="18"/>
  <c r="Q99" i="18"/>
  <c r="S9" i="18" s="1"/>
  <c r="BH29" i="18"/>
  <c r="T21" i="18" s="1"/>
  <c r="BK39" i="18"/>
  <c r="AT72" i="14"/>
  <c r="BE133" i="14"/>
  <c r="AO73" i="14"/>
  <c r="AJ134" i="14"/>
  <c r="BB134" i="14" s="1"/>
  <c r="AN98" i="14"/>
  <c r="I52" i="20" l="1"/>
  <c r="L47" i="20"/>
  <c r="BK36" i="18"/>
  <c r="T27" i="18" s="1"/>
  <c r="BH27" i="18"/>
  <c r="BH28" i="18"/>
  <c r="T20" i="18" s="1"/>
  <c r="BH30" i="18"/>
  <c r="BH26" i="18"/>
  <c r="T18" i="18" s="1"/>
  <c r="BH36" i="18"/>
  <c r="AT73" i="14"/>
  <c r="BE134" i="14"/>
  <c r="AO74" i="14"/>
  <c r="S43" i="20" s="1"/>
  <c r="AJ135" i="14"/>
  <c r="BB135" i="14" s="1"/>
  <c r="T23" i="18" l="1"/>
  <c r="BH31" i="18"/>
  <c r="AT74" i="14"/>
  <c r="BE135" i="14"/>
  <c r="H44" i="20" s="1"/>
  <c r="AO75" i="14"/>
  <c r="AJ136" i="14"/>
  <c r="BB136" i="14" s="1"/>
  <c r="AT75" i="14" l="1"/>
  <c r="BE136" i="14"/>
  <c r="AO76" i="14"/>
  <c r="AJ137" i="14"/>
  <c r="BB137" i="14" s="1"/>
  <c r="AT76" i="14" l="1"/>
  <c r="BE137" i="14"/>
  <c r="AO77" i="14"/>
  <c r="AJ138" i="14"/>
  <c r="BB138" i="14" s="1"/>
  <c r="AT77" i="14" l="1"/>
  <c r="BE138" i="14"/>
  <c r="AO78" i="14"/>
  <c r="AJ139" i="14"/>
  <c r="BB139" i="14" s="1"/>
  <c r="AT78" i="14" l="1"/>
  <c r="BE139" i="14"/>
  <c r="AO79" i="14"/>
  <c r="AJ140" i="14"/>
  <c r="BB140" i="14" s="1"/>
  <c r="AT79" i="14" l="1"/>
  <c r="BE140" i="14"/>
  <c r="AO80" i="14"/>
  <c r="AJ141" i="14"/>
  <c r="BB141" i="14" s="1"/>
  <c r="AT80" i="14" l="1"/>
  <c r="BE141" i="14"/>
  <c r="AO81" i="14"/>
  <c r="AJ142" i="14"/>
  <c r="BB142" i="14" s="1"/>
  <c r="AT81" i="14" l="1"/>
  <c r="BE142" i="14"/>
  <c r="AO82" i="14"/>
  <c r="AJ143" i="14"/>
  <c r="BB143" i="14" s="1"/>
  <c r="AT82" i="14" l="1"/>
  <c r="BE143" i="14"/>
  <c r="AO83" i="14"/>
  <c r="AJ144" i="14"/>
  <c r="BB144" i="14" s="1"/>
  <c r="AT83" i="14" l="1"/>
  <c r="BE144" i="14"/>
  <c r="AO84" i="14"/>
  <c r="AJ145" i="14"/>
  <c r="BB145" i="14" s="1"/>
  <c r="AT84" i="14" l="1"/>
  <c r="BE145" i="14"/>
  <c r="AO85" i="14"/>
  <c r="AJ146" i="14"/>
  <c r="BB146" i="14" s="1"/>
  <c r="AT85" i="14" l="1"/>
  <c r="BE146" i="14"/>
  <c r="AO86" i="14"/>
  <c r="S44" i="20" s="1"/>
  <c r="AJ147" i="14"/>
  <c r="BB147" i="14" s="1"/>
  <c r="AT86" i="14" l="1"/>
  <c r="BE147" i="14"/>
  <c r="H45" i="20" s="1"/>
  <c r="AO87" i="14"/>
  <c r="AJ148" i="14"/>
  <c r="BB148" i="14" s="1"/>
  <c r="AT87" i="14" l="1"/>
  <c r="BE148" i="14"/>
  <c r="AO88" i="14"/>
  <c r="AJ149" i="14"/>
  <c r="BB149" i="14" s="1"/>
  <c r="AT88" i="14" l="1"/>
  <c r="BE149" i="14"/>
  <c r="AO89" i="14"/>
  <c r="AJ150" i="14"/>
  <c r="BB150" i="14" s="1"/>
  <c r="AT89" i="14" l="1"/>
  <c r="BE150" i="14"/>
  <c r="AO90" i="14"/>
  <c r="AJ151" i="14"/>
  <c r="BB151" i="14" s="1"/>
  <c r="AT90" i="14" l="1"/>
  <c r="BE151" i="14"/>
  <c r="AO91" i="14"/>
  <c r="AJ152" i="14"/>
  <c r="BB152" i="14" s="1"/>
  <c r="AT91" i="14" l="1"/>
  <c r="BE152" i="14"/>
  <c r="AO92" i="14"/>
  <c r="AJ153" i="14"/>
  <c r="BB153" i="14" s="1"/>
  <c r="AT92" i="14" l="1"/>
  <c r="BE153" i="14"/>
  <c r="AO93" i="14"/>
  <c r="AJ154" i="14"/>
  <c r="BB154" i="14" s="1"/>
  <c r="AT93" i="14" l="1"/>
  <c r="BE154" i="14"/>
  <c r="AO94" i="14"/>
  <c r="AJ155" i="14"/>
  <c r="BB155" i="14" s="1"/>
  <c r="AT94" i="14" l="1"/>
  <c r="BE155" i="14"/>
  <c r="AO95" i="14"/>
  <c r="AJ156" i="14"/>
  <c r="BB156" i="14" s="1"/>
  <c r="AT95" i="14" l="1"/>
  <c r="BE156" i="14"/>
  <c r="AO96" i="14"/>
  <c r="AJ157" i="14"/>
  <c r="BB157" i="14" s="1"/>
  <c r="AT96" i="14" l="1"/>
  <c r="BE157" i="14"/>
  <c r="AO97" i="14"/>
  <c r="AJ158" i="14"/>
  <c r="BB158" i="14" s="1"/>
  <c r="AT97" i="14" l="1"/>
  <c r="BE158" i="14"/>
  <c r="AO98" i="14"/>
  <c r="S45" i="20" s="1"/>
  <c r="S46" i="20" l="1"/>
  <c r="BE36" i="14"/>
  <c r="AT98" i="14"/>
  <c r="AW40" i="14" l="1"/>
  <c r="AY40" i="14" s="1"/>
  <c r="AA40" i="14" s="1"/>
  <c r="AW41" i="14"/>
  <c r="AY41" i="14" s="1"/>
  <c r="AW42" i="14"/>
  <c r="AY42" i="14" s="1"/>
  <c r="AA42" i="14" s="1"/>
  <c r="AW43" i="14"/>
  <c r="AY43" i="14" s="1"/>
  <c r="AW44" i="14"/>
  <c r="AY44" i="14" s="1"/>
  <c r="AA44" i="14" s="1"/>
  <c r="AW45" i="14"/>
  <c r="AY45" i="14" s="1"/>
  <c r="AW46" i="14"/>
  <c r="AY46" i="14" s="1"/>
  <c r="AA46" i="14" s="1"/>
  <c r="AW47" i="14"/>
  <c r="AY47" i="14" s="1"/>
  <c r="AA47" i="14" s="1"/>
  <c r="AW48" i="14"/>
  <c r="AY48" i="14" s="1"/>
  <c r="AA48" i="14" s="1"/>
  <c r="AW49" i="14"/>
  <c r="AY49" i="14" s="1"/>
  <c r="AA49" i="14" s="1"/>
  <c r="AW50" i="14"/>
  <c r="AY50" i="14" s="1"/>
  <c r="AW51" i="14"/>
  <c r="AY51" i="14" s="1"/>
  <c r="AA51" i="14" s="1"/>
  <c r="AW52" i="14"/>
  <c r="AY52" i="14" s="1"/>
  <c r="AA52" i="14" s="1"/>
  <c r="AW53" i="14"/>
  <c r="AY53" i="14" s="1"/>
  <c r="AA53" i="14" s="1"/>
  <c r="AW54" i="14"/>
  <c r="AY54" i="14" s="1"/>
  <c r="AA54" i="14" s="1"/>
  <c r="AW55" i="14"/>
  <c r="AY55" i="14" s="1"/>
  <c r="AA55" i="14" s="1"/>
  <c r="AW56" i="14"/>
  <c r="AY56" i="14" s="1"/>
  <c r="AA56" i="14" s="1"/>
  <c r="AW57" i="14"/>
  <c r="AY57" i="14" s="1"/>
  <c r="AA57" i="14" s="1"/>
  <c r="AW58" i="14"/>
  <c r="AY58" i="14" s="1"/>
  <c r="AA58" i="14" s="1"/>
  <c r="AW59" i="14"/>
  <c r="AY59" i="14" s="1"/>
  <c r="AA59" i="14" s="1"/>
  <c r="AW60" i="14"/>
  <c r="AY60" i="14" s="1"/>
  <c r="AA60" i="14" s="1"/>
  <c r="AW61" i="14"/>
  <c r="AY61" i="14" s="1"/>
  <c r="AA61" i="14" s="1"/>
  <c r="AW62" i="14"/>
  <c r="AY62" i="14" s="1"/>
  <c r="AA62" i="14" s="1"/>
  <c r="AW63" i="14"/>
  <c r="AY63" i="14" s="1"/>
  <c r="AA63" i="14" s="1"/>
  <c r="AW64" i="14"/>
  <c r="AY64" i="14" s="1"/>
  <c r="AA64" i="14" s="1"/>
  <c r="AW65" i="14"/>
  <c r="AY65" i="14" s="1"/>
  <c r="AA65" i="14" s="1"/>
  <c r="AW66" i="14"/>
  <c r="AY66" i="14" s="1"/>
  <c r="AA66" i="14" s="1"/>
  <c r="AW67" i="14"/>
  <c r="AY67" i="14" s="1"/>
  <c r="AA67" i="14" s="1"/>
  <c r="AW68" i="14"/>
  <c r="AY68" i="14" s="1"/>
  <c r="AA68" i="14" s="1"/>
  <c r="AW69" i="14"/>
  <c r="AY69" i="14" s="1"/>
  <c r="AA69" i="14" s="1"/>
  <c r="AW70" i="14"/>
  <c r="AY70" i="14" s="1"/>
  <c r="AA70" i="14" s="1"/>
  <c r="AW71" i="14"/>
  <c r="AY71" i="14" s="1"/>
  <c r="AA71" i="14" s="1"/>
  <c r="AW72" i="14"/>
  <c r="AY72" i="14" s="1"/>
  <c r="AA72" i="14" s="1"/>
  <c r="AW73" i="14"/>
  <c r="AY73" i="14" s="1"/>
  <c r="AA73" i="14" s="1"/>
  <c r="AW74" i="14"/>
  <c r="AY74" i="14" s="1"/>
  <c r="AA74" i="14" s="1"/>
  <c r="AW75" i="14"/>
  <c r="AY75" i="14" s="1"/>
  <c r="AA75" i="14" s="1"/>
  <c r="AW76" i="14"/>
  <c r="AY76" i="14" s="1"/>
  <c r="AA76" i="14" s="1"/>
  <c r="AW77" i="14"/>
  <c r="AY77" i="14" s="1"/>
  <c r="AA77" i="14" s="1"/>
  <c r="AW78" i="14"/>
  <c r="AY78" i="14" s="1"/>
  <c r="AA78" i="14" s="1"/>
  <c r="AW79" i="14"/>
  <c r="AY79" i="14" s="1"/>
  <c r="AA79" i="14" s="1"/>
  <c r="AW80" i="14"/>
  <c r="AY80" i="14" s="1"/>
  <c r="AA80" i="14" s="1"/>
  <c r="AW81" i="14"/>
  <c r="AY81" i="14" s="1"/>
  <c r="AA81" i="14" s="1"/>
  <c r="AW82" i="14"/>
  <c r="AY82" i="14" s="1"/>
  <c r="AA82" i="14" s="1"/>
  <c r="AW83" i="14"/>
  <c r="AY83" i="14" s="1"/>
  <c r="AA83" i="14" s="1"/>
  <c r="AW84" i="14"/>
  <c r="AY84" i="14" s="1"/>
  <c r="AW85" i="14"/>
  <c r="AY85" i="14" s="1"/>
  <c r="AA85" i="14" s="1"/>
  <c r="AW86" i="14"/>
  <c r="AY86" i="14" s="1"/>
  <c r="AA86" i="14" s="1"/>
  <c r="AW87" i="14"/>
  <c r="AY87" i="14" s="1"/>
  <c r="AA87" i="14" s="1"/>
  <c r="AW88" i="14"/>
  <c r="AY88" i="14" s="1"/>
  <c r="AA88" i="14" s="1"/>
  <c r="AW89" i="14"/>
  <c r="AY89" i="14" s="1"/>
  <c r="AA89" i="14" s="1"/>
  <c r="AW90" i="14"/>
  <c r="AY90" i="14" s="1"/>
  <c r="AA90" i="14" s="1"/>
  <c r="AW91" i="14"/>
  <c r="AY91" i="14" s="1"/>
  <c r="AA91" i="14" s="1"/>
  <c r="AW92" i="14"/>
  <c r="AY92" i="14" s="1"/>
  <c r="AA92" i="14" s="1"/>
  <c r="AW93" i="14"/>
  <c r="AY93" i="14" s="1"/>
  <c r="AW94" i="14"/>
  <c r="AY94" i="14" s="1"/>
  <c r="AA94" i="14" s="1"/>
  <c r="AW95" i="14"/>
  <c r="AY95" i="14" s="1"/>
  <c r="AA95" i="14" s="1"/>
  <c r="AW96" i="14"/>
  <c r="AY96" i="14" s="1"/>
  <c r="AA96" i="14" s="1"/>
  <c r="AW97" i="14"/>
  <c r="AY97" i="14" s="1"/>
  <c r="AA97" i="14" s="1"/>
  <c r="AW98" i="14"/>
  <c r="AY98" i="14" s="1"/>
  <c r="AA98" i="14" s="1"/>
  <c r="W99" i="14"/>
  <c r="S6" i="14" s="1"/>
  <c r="AW39" i="14"/>
  <c r="AY39" i="14" s="1"/>
  <c r="AA39" i="14" l="1"/>
  <c r="Y39" i="14"/>
  <c r="Z39" i="14" s="1"/>
  <c r="X39" i="14"/>
  <c r="L42" i="20"/>
  <c r="L43" i="20"/>
  <c r="AA45" i="14"/>
  <c r="Y45" i="14"/>
  <c r="Z45" i="14" s="1"/>
  <c r="X45" i="14"/>
  <c r="AA50" i="14"/>
  <c r="Y50" i="14"/>
  <c r="Z50" i="14" s="1"/>
  <c r="X50" i="14"/>
  <c r="AA93" i="14"/>
  <c r="L45" i="20" s="1"/>
  <c r="X93" i="14"/>
  <c r="Y93" i="14"/>
  <c r="Z93" i="14" s="1"/>
  <c r="AA84" i="14"/>
  <c r="L44" i="20" s="1"/>
  <c r="Y84" i="14"/>
  <c r="Z84" i="14" s="1"/>
  <c r="X84" i="14"/>
  <c r="Y43" i="14"/>
  <c r="Z43" i="14" s="1"/>
  <c r="AA43" i="14"/>
  <c r="AA41" i="14"/>
  <c r="Y41" i="14"/>
  <c r="X41" i="14"/>
  <c r="Y47" i="14"/>
  <c r="Z47" i="14" s="1"/>
  <c r="X47" i="14"/>
  <c r="X42" i="14"/>
  <c r="Y42" i="14"/>
  <c r="Z42" i="14" s="1"/>
  <c r="Y49" i="14"/>
  <c r="Z49" i="14" s="1"/>
  <c r="X49" i="14"/>
  <c r="X53" i="14"/>
  <c r="Y53" i="14"/>
  <c r="Z53" i="14" s="1"/>
  <c r="X46" i="14"/>
  <c r="Y46" i="14"/>
  <c r="Z46" i="14" s="1"/>
  <c r="X43" i="14"/>
  <c r="AY99" i="14"/>
  <c r="R103" i="14" s="1"/>
  <c r="Q10" i="14"/>
  <c r="Q9" i="14"/>
  <c r="L41" i="20" l="1"/>
  <c r="L46" i="20" s="1"/>
  <c r="AA99" i="14"/>
  <c r="X99" i="14"/>
  <c r="Z41" i="14"/>
  <c r="Z99" i="14" s="1"/>
  <c r="Y99" i="14"/>
  <c r="R104" i="14"/>
  <c r="R105" i="14" s="1"/>
  <c r="S7" i="14"/>
  <c r="AO101" i="14" l="1"/>
  <c r="S8" i="14"/>
  <c r="Q97" i="14" l="1"/>
  <c r="S87" i="14"/>
  <c r="T87" i="14" s="1"/>
  <c r="U82" i="14"/>
  <c r="R80" i="14"/>
  <c r="V77" i="14"/>
  <c r="S75" i="14"/>
  <c r="T75" i="14" s="1"/>
  <c r="Q73" i="14"/>
  <c r="R68" i="14"/>
  <c r="V65" i="14"/>
  <c r="S63" i="14"/>
  <c r="T63" i="14" s="1"/>
  <c r="R56" i="14"/>
  <c r="V53" i="14"/>
  <c r="U46" i="14"/>
  <c r="R44" i="14"/>
  <c r="V41" i="14"/>
  <c r="S39" i="14"/>
  <c r="H94" i="14"/>
  <c r="H88" i="14"/>
  <c r="H82" i="14"/>
  <c r="H76" i="14"/>
  <c r="H70" i="14"/>
  <c r="H64" i="14"/>
  <c r="H58" i="14"/>
  <c r="H52" i="14"/>
  <c r="H46" i="14"/>
  <c r="H40" i="14"/>
  <c r="F89" i="14"/>
  <c r="F77" i="14"/>
  <c r="G77" i="14" s="1"/>
  <c r="F65" i="14"/>
  <c r="G65" i="14" s="1"/>
  <c r="F53" i="14"/>
  <c r="G53" i="14" s="1"/>
  <c r="F41" i="14"/>
  <c r="G41" i="14" s="1"/>
  <c r="D94" i="14"/>
  <c r="D88" i="14"/>
  <c r="D82" i="14"/>
  <c r="D76" i="14"/>
  <c r="D70" i="14"/>
  <c r="D64" i="14"/>
  <c r="D58" i="14"/>
  <c r="D52" i="14"/>
  <c r="D46" i="14"/>
  <c r="D40" i="14"/>
  <c r="V96" i="14"/>
  <c r="U89" i="14"/>
  <c r="R87" i="14"/>
  <c r="V84" i="14"/>
  <c r="S82" i="14"/>
  <c r="T82" i="14" s="1"/>
  <c r="Q80" i="14"/>
  <c r="U77" i="14"/>
  <c r="R75" i="14"/>
  <c r="Q68" i="14"/>
  <c r="U65" i="14"/>
  <c r="R63" i="14"/>
  <c r="V60" i="14"/>
  <c r="Q56" i="14"/>
  <c r="U53" i="14"/>
  <c r="V48" i="14"/>
  <c r="S46" i="14"/>
  <c r="T46" i="14" s="1"/>
  <c r="Q44" i="14"/>
  <c r="U41" i="14"/>
  <c r="R39" i="14"/>
  <c r="I93" i="14"/>
  <c r="I87" i="14"/>
  <c r="I81" i="14"/>
  <c r="I75" i="14"/>
  <c r="I69" i="14"/>
  <c r="I63" i="14"/>
  <c r="I57" i="14"/>
  <c r="I51" i="14"/>
  <c r="I45" i="14"/>
  <c r="I39" i="14"/>
  <c r="U96" i="14"/>
  <c r="V93" i="14"/>
  <c r="Q91" i="14"/>
  <c r="R82" i="14"/>
  <c r="S79" i="14"/>
  <c r="T79" i="14" s="1"/>
  <c r="V73" i="14"/>
  <c r="V67" i="14"/>
  <c r="Q65" i="14"/>
  <c r="U56" i="14"/>
  <c r="S53" i="14"/>
  <c r="T53" i="14" s="1"/>
  <c r="V47" i="14"/>
  <c r="Q45" i="14"/>
  <c r="R42" i="14"/>
  <c r="Q39" i="14"/>
  <c r="H92" i="14"/>
  <c r="H85" i="14"/>
  <c r="H78" i="14"/>
  <c r="H71" i="14"/>
  <c r="H63" i="14"/>
  <c r="H56" i="14"/>
  <c r="H49" i="14"/>
  <c r="H42" i="14"/>
  <c r="F91" i="14"/>
  <c r="G91" i="14" s="1"/>
  <c r="F78" i="14"/>
  <c r="G78" i="14" s="1"/>
  <c r="F64" i="14"/>
  <c r="G64" i="14" s="1"/>
  <c r="F51" i="14"/>
  <c r="G51" i="14" s="1"/>
  <c r="E98" i="14"/>
  <c r="D92" i="14"/>
  <c r="E85" i="14"/>
  <c r="D79" i="14"/>
  <c r="E72" i="14"/>
  <c r="D66" i="14"/>
  <c r="E59" i="14"/>
  <c r="D53" i="14"/>
  <c r="E46" i="14"/>
  <c r="E39" i="14"/>
  <c r="S96" i="14"/>
  <c r="T96" i="14" s="1"/>
  <c r="U93" i="14"/>
  <c r="V90" i="14"/>
  <c r="Q82" i="14"/>
  <c r="R79" i="14"/>
  <c r="U73" i="14"/>
  <c r="U67" i="14"/>
  <c r="Q62" i="14"/>
  <c r="S56" i="14"/>
  <c r="T56" i="14" s="1"/>
  <c r="R53" i="14"/>
  <c r="U47" i="14"/>
  <c r="V44" i="14"/>
  <c r="Q42" i="14"/>
  <c r="I98" i="14"/>
  <c r="I91" i="14"/>
  <c r="I84" i="14"/>
  <c r="I77" i="14"/>
  <c r="I70" i="14"/>
  <c r="I62" i="14"/>
  <c r="I55" i="14"/>
  <c r="I48" i="14"/>
  <c r="I41" i="14"/>
  <c r="F90" i="14"/>
  <c r="F76" i="14"/>
  <c r="G76" i="14" s="1"/>
  <c r="F63" i="14"/>
  <c r="G63" i="14" s="1"/>
  <c r="F50" i="14"/>
  <c r="G50" i="14" s="1"/>
  <c r="D98" i="14"/>
  <c r="E91" i="14"/>
  <c r="D85" i="14"/>
  <c r="E78" i="14"/>
  <c r="D72" i="14"/>
  <c r="E65" i="14"/>
  <c r="D59" i="14"/>
  <c r="E52" i="14"/>
  <c r="E45" i="14"/>
  <c r="D39" i="14"/>
  <c r="R96" i="14"/>
  <c r="S93" i="14"/>
  <c r="T93" i="14" s="1"/>
  <c r="U90" i="14"/>
  <c r="V87" i="14"/>
  <c r="U84" i="14"/>
  <c r="V81" i="14"/>
  <c r="Q79" i="14"/>
  <c r="S73" i="14"/>
  <c r="T73" i="14" s="1"/>
  <c r="R70" i="14"/>
  <c r="S67" i="14"/>
  <c r="T67" i="14" s="1"/>
  <c r="U64" i="14"/>
  <c r="V55" i="14"/>
  <c r="Q53" i="14"/>
  <c r="S47" i="14"/>
  <c r="T47" i="14" s="1"/>
  <c r="U44" i="14"/>
  <c r="S41" i="14"/>
  <c r="T41" i="14" s="1"/>
  <c r="H98" i="14"/>
  <c r="H91" i="14"/>
  <c r="H84" i="14"/>
  <c r="H77" i="14"/>
  <c r="H69" i="14"/>
  <c r="H62" i="14"/>
  <c r="H55" i="14"/>
  <c r="H48" i="14"/>
  <c r="H41" i="14"/>
  <c r="F88" i="14"/>
  <c r="G88" i="14" s="1"/>
  <c r="F75" i="14"/>
  <c r="G75" i="14" s="1"/>
  <c r="F62" i="14"/>
  <c r="G62" i="14" s="1"/>
  <c r="F49" i="14"/>
  <c r="G49" i="14" s="1"/>
  <c r="E97" i="14"/>
  <c r="D91" i="14"/>
  <c r="E84" i="14"/>
  <c r="D78" i="14"/>
  <c r="E71" i="14"/>
  <c r="D65" i="14"/>
  <c r="E58" i="14"/>
  <c r="E51" i="14"/>
  <c r="D45" i="14"/>
  <c r="Q96" i="14"/>
  <c r="S84" i="14"/>
  <c r="T84" i="14" s="1"/>
  <c r="Q81" i="14"/>
  <c r="R77" i="14"/>
  <c r="R73" i="14"/>
  <c r="V57" i="14"/>
  <c r="S54" i="14"/>
  <c r="T54" i="14" s="1"/>
  <c r="R46" i="14"/>
  <c r="V42" i="14"/>
  <c r="I97" i="14"/>
  <c r="H89" i="14"/>
  <c r="I79" i="14"/>
  <c r="I68" i="14"/>
  <c r="H60" i="14"/>
  <c r="I50" i="14"/>
  <c r="I40" i="14"/>
  <c r="F84" i="14"/>
  <c r="G84" i="14" s="1"/>
  <c r="F68" i="14"/>
  <c r="G68" i="14" s="1"/>
  <c r="F48" i="14"/>
  <c r="G48" i="14" s="1"/>
  <c r="E95" i="14"/>
  <c r="D87" i="14"/>
  <c r="E77" i="14"/>
  <c r="D69" i="14"/>
  <c r="D61" i="14"/>
  <c r="D51" i="14"/>
  <c r="D43" i="14"/>
  <c r="S64" i="14"/>
  <c r="T64" i="14" s="1"/>
  <c r="F97" i="14"/>
  <c r="G97" i="14" s="1"/>
  <c r="F45" i="14"/>
  <c r="G45" i="14" s="1"/>
  <c r="D84" i="14"/>
  <c r="E75" i="14"/>
  <c r="E57" i="14"/>
  <c r="E49" i="14"/>
  <c r="S91" i="14"/>
  <c r="T91" i="14" s="1"/>
  <c r="Q87" i="14"/>
  <c r="U83" i="14"/>
  <c r="V79" i="14"/>
  <c r="U68" i="14"/>
  <c r="S60" i="14"/>
  <c r="T60" i="14" s="1"/>
  <c r="Q57" i="14"/>
  <c r="S45" i="14"/>
  <c r="T45" i="14" s="1"/>
  <c r="I95" i="14"/>
  <c r="H75" i="14"/>
  <c r="H57" i="14"/>
  <c r="H47" i="14"/>
  <c r="F80" i="14"/>
  <c r="G80" i="14" s="1"/>
  <c r="D93" i="14"/>
  <c r="D75" i="14"/>
  <c r="D57" i="14"/>
  <c r="R91" i="14"/>
  <c r="V40" i="14"/>
  <c r="F79" i="14"/>
  <c r="G79" i="14" s="1"/>
  <c r="I83" i="14"/>
  <c r="F58" i="14"/>
  <c r="G58" i="14" s="1"/>
  <c r="Q98" i="14"/>
  <c r="R90" i="14"/>
  <c r="S86" i="14"/>
  <c r="T86" i="14" s="1"/>
  <c r="S71" i="14"/>
  <c r="T71" i="14" s="1"/>
  <c r="Q67" i="14"/>
  <c r="Q52" i="14"/>
  <c r="V43" i="14"/>
  <c r="H93" i="14"/>
  <c r="V95" i="14"/>
  <c r="R84" i="14"/>
  <c r="V80" i="14"/>
  <c r="Q77" i="14"/>
  <c r="S65" i="14"/>
  <c r="T65" i="14" s="1"/>
  <c r="U57" i="14"/>
  <c r="R54" i="14"/>
  <c r="Q46" i="14"/>
  <c r="U42" i="14"/>
  <c r="H97" i="14"/>
  <c r="I88" i="14"/>
  <c r="H79" i="14"/>
  <c r="H68" i="14"/>
  <c r="I59" i="14"/>
  <c r="H50" i="14"/>
  <c r="H39" i="14"/>
  <c r="F83" i="14"/>
  <c r="G83" i="14" s="1"/>
  <c r="F67" i="14"/>
  <c r="G67" i="14" s="1"/>
  <c r="F47" i="14"/>
  <c r="G47" i="14" s="1"/>
  <c r="D95" i="14"/>
  <c r="E86" i="14"/>
  <c r="D77" i="14"/>
  <c r="E68" i="14"/>
  <c r="E60" i="14"/>
  <c r="E50" i="14"/>
  <c r="E42" i="14"/>
  <c r="U95" i="14"/>
  <c r="V91" i="14"/>
  <c r="Q84" i="14"/>
  <c r="U80" i="14"/>
  <c r="R65" i="14"/>
  <c r="R61" i="14"/>
  <c r="S57" i="14"/>
  <c r="T57" i="14" s="1"/>
  <c r="Q54" i="14"/>
  <c r="V45" i="14"/>
  <c r="S42" i="14"/>
  <c r="T42" i="14" s="1"/>
  <c r="I96" i="14"/>
  <c r="H87" i="14"/>
  <c r="I78" i="14"/>
  <c r="I67" i="14"/>
  <c r="H59" i="14"/>
  <c r="I49" i="14"/>
  <c r="F98" i="14"/>
  <c r="F82" i="14"/>
  <c r="G82" i="14" s="1"/>
  <c r="F66" i="14"/>
  <c r="G66" i="14" s="1"/>
  <c r="F46" i="14"/>
  <c r="G46" i="14" s="1"/>
  <c r="E94" i="14"/>
  <c r="D86" i="14"/>
  <c r="E76" i="14"/>
  <c r="D68" i="14"/>
  <c r="D60" i="14"/>
  <c r="D50" i="14"/>
  <c r="D42" i="14"/>
  <c r="V98" i="14"/>
  <c r="S95" i="14"/>
  <c r="T95" i="14" s="1"/>
  <c r="U91" i="14"/>
  <c r="U87" i="14"/>
  <c r="V83" i="14"/>
  <c r="S80" i="14"/>
  <c r="T80" i="14" s="1"/>
  <c r="Q76" i="14"/>
  <c r="V68" i="14"/>
  <c r="U60" i="14"/>
  <c r="R57" i="14"/>
  <c r="V52" i="14"/>
  <c r="U45" i="14"/>
  <c r="R41" i="14"/>
  <c r="H96" i="14"/>
  <c r="I86" i="14"/>
  <c r="I76" i="14"/>
  <c r="H67" i="14"/>
  <c r="I58" i="14"/>
  <c r="I47" i="14"/>
  <c r="F81" i="14"/>
  <c r="F61" i="14"/>
  <c r="E93" i="14"/>
  <c r="E67" i="14"/>
  <c r="E41" i="14"/>
  <c r="R95" i="14"/>
  <c r="V75" i="14"/>
  <c r="U52" i="14"/>
  <c r="Q41" i="14"/>
  <c r="H86" i="14"/>
  <c r="I66" i="14"/>
  <c r="F96" i="14"/>
  <c r="F60" i="14"/>
  <c r="G60" i="14" s="1"/>
  <c r="F44" i="14"/>
  <c r="G44" i="14" s="1"/>
  <c r="E83" i="14"/>
  <c r="D67" i="14"/>
  <c r="D49" i="14"/>
  <c r="D41" i="14"/>
  <c r="Q95" i="14"/>
  <c r="V86" i="14"/>
  <c r="S83" i="14"/>
  <c r="T83" i="14" s="1"/>
  <c r="U79" i="14"/>
  <c r="U75" i="14"/>
  <c r="S68" i="14"/>
  <c r="T68" i="14" s="1"/>
  <c r="R60" i="14"/>
  <c r="V56" i="14"/>
  <c r="S52" i="14"/>
  <c r="T52" i="14" s="1"/>
  <c r="R45" i="14"/>
  <c r="H95" i="14"/>
  <c r="I85" i="14"/>
  <c r="H66" i="14"/>
  <c r="I56" i="14"/>
  <c r="I46" i="14"/>
  <c r="F95" i="14"/>
  <c r="G95" i="14" s="1"/>
  <c r="F59" i="14"/>
  <c r="G59" i="14" s="1"/>
  <c r="F43" i="14"/>
  <c r="G43" i="14" s="1"/>
  <c r="E92" i="14"/>
  <c r="D83" i="14"/>
  <c r="E66" i="14"/>
  <c r="E56" i="14"/>
  <c r="E48" i="14"/>
  <c r="E40" i="14"/>
  <c r="R98" i="14"/>
  <c r="S90" i="14"/>
  <c r="T90" i="14" s="1"/>
  <c r="U86" i="14"/>
  <c r="R83" i="14"/>
  <c r="Q75" i="14"/>
  <c r="U71" i="14"/>
  <c r="R67" i="14"/>
  <c r="V63" i="14"/>
  <c r="Q60" i="14"/>
  <c r="U55" i="14"/>
  <c r="R52" i="14"/>
  <c r="S44" i="14"/>
  <c r="T44" i="14" s="1"/>
  <c r="U40" i="14"/>
  <c r="I94" i="14"/>
  <c r="I65" i="14"/>
  <c r="I54" i="14"/>
  <c r="H45" i="14"/>
  <c r="F94" i="14"/>
  <c r="G94" i="14" s="1"/>
  <c r="F42" i="14"/>
  <c r="G42" i="14" s="1"/>
  <c r="E90" i="14"/>
  <c r="E82" i="14"/>
  <c r="E64" i="14"/>
  <c r="D56" i="14"/>
  <c r="D48" i="14"/>
  <c r="Q83" i="14"/>
  <c r="V74" i="14"/>
  <c r="U63" i="14"/>
  <c r="S55" i="14"/>
  <c r="T55" i="14" s="1"/>
  <c r="S40" i="14"/>
  <c r="T40" i="14" s="1"/>
  <c r="S89" i="14"/>
  <c r="T89" i="14" s="1"/>
  <c r="U66" i="14"/>
  <c r="Q55" i="14"/>
  <c r="S43" i="14"/>
  <c r="T43" i="14" s="1"/>
  <c r="I82" i="14"/>
  <c r="H61" i="14"/>
  <c r="F93" i="14"/>
  <c r="F55" i="14"/>
  <c r="G55" i="14" s="1"/>
  <c r="E87" i="14"/>
  <c r="D63" i="14"/>
  <c r="D44" i="14"/>
  <c r="S81" i="14"/>
  <c r="T81" i="14" s="1"/>
  <c r="E47" i="14"/>
  <c r="V46" i="14"/>
  <c r="I89" i="14"/>
  <c r="I64" i="14"/>
  <c r="H43" i="14"/>
  <c r="D89" i="14"/>
  <c r="E69" i="14"/>
  <c r="D47" i="14"/>
  <c r="Q90" i="14"/>
  <c r="R55" i="14"/>
  <c r="U43" i="14"/>
  <c r="H83" i="14"/>
  <c r="I61" i="14"/>
  <c r="F56" i="14"/>
  <c r="G56" i="14" s="1"/>
  <c r="E88" i="14"/>
  <c r="E44" i="14"/>
  <c r="R89" i="14"/>
  <c r="V54" i="14"/>
  <c r="R43" i="14"/>
  <c r="H81" i="14"/>
  <c r="I60" i="14"/>
  <c r="F92" i="14"/>
  <c r="F54" i="14"/>
  <c r="G54" i="14" s="1"/>
  <c r="E81" i="14"/>
  <c r="E62" i="14"/>
  <c r="E43" i="14"/>
  <c r="Q89" i="14"/>
  <c r="S77" i="14"/>
  <c r="T77" i="14" s="1"/>
  <c r="U54" i="14"/>
  <c r="Q43" i="14"/>
  <c r="I80" i="14"/>
  <c r="H54" i="14"/>
  <c r="F87" i="14"/>
  <c r="G87" i="14" s="1"/>
  <c r="F52" i="14"/>
  <c r="G52" i="14" s="1"/>
  <c r="D81" i="14"/>
  <c r="D62" i="14"/>
  <c r="V97" i="14"/>
  <c r="R86" i="14"/>
  <c r="U74" i="14"/>
  <c r="Q63" i="14"/>
  <c r="R40" i="14"/>
  <c r="H80" i="14"/>
  <c r="I53" i="14"/>
  <c r="F86" i="14"/>
  <c r="G86" i="14" s="1"/>
  <c r="F40" i="14"/>
  <c r="G40" i="14" s="1"/>
  <c r="E80" i="14"/>
  <c r="E61" i="14"/>
  <c r="U97" i="14"/>
  <c r="Q86" i="14"/>
  <c r="S74" i="14"/>
  <c r="T74" i="14" s="1"/>
  <c r="V62" i="14"/>
  <c r="Q40" i="14"/>
  <c r="I73" i="14"/>
  <c r="H53" i="14"/>
  <c r="F85" i="14"/>
  <c r="G85" i="14" s="1"/>
  <c r="F39" i="14"/>
  <c r="D80" i="14"/>
  <c r="E55" i="14"/>
  <c r="S97" i="14"/>
  <c r="T97" i="14" s="1"/>
  <c r="R74" i="14"/>
  <c r="U62" i="14"/>
  <c r="V39" i="14"/>
  <c r="H73" i="14"/>
  <c r="I52" i="14"/>
  <c r="F73" i="14"/>
  <c r="G73" i="14" s="1"/>
  <c r="D97" i="14"/>
  <c r="E79" i="14"/>
  <c r="D55" i="14"/>
  <c r="R97" i="14"/>
  <c r="Q74" i="14"/>
  <c r="S62" i="14"/>
  <c r="T62" i="14" s="1"/>
  <c r="U39" i="14"/>
  <c r="I72" i="14"/>
  <c r="H51" i="14"/>
  <c r="F72" i="14"/>
  <c r="G72" i="14" s="1"/>
  <c r="E96" i="14"/>
  <c r="E73" i="14"/>
  <c r="E54" i="14"/>
  <c r="V82" i="14"/>
  <c r="R71" i="14"/>
  <c r="I92" i="14"/>
  <c r="H72" i="14"/>
  <c r="I44" i="14"/>
  <c r="F71" i="14"/>
  <c r="G71" i="14" s="1"/>
  <c r="D96" i="14"/>
  <c r="D73" i="14"/>
  <c r="D54" i="14"/>
  <c r="R93" i="14"/>
  <c r="U81" i="14"/>
  <c r="Q70" i="14"/>
  <c r="V58" i="14"/>
  <c r="R47" i="14"/>
  <c r="I90" i="14"/>
  <c r="I71" i="14"/>
  <c r="H44" i="14"/>
  <c r="F70" i="14"/>
  <c r="G70" i="14" s="1"/>
  <c r="D90" i="14"/>
  <c r="D71" i="14"/>
  <c r="E53" i="14"/>
  <c r="Q93" i="14"/>
  <c r="Q47" i="14"/>
  <c r="H90" i="14"/>
  <c r="H65" i="14"/>
  <c r="I43" i="14"/>
  <c r="F69" i="14"/>
  <c r="G69" i="14" s="1"/>
  <c r="E89" i="14"/>
  <c r="E70" i="14"/>
  <c r="R81" i="14"/>
  <c r="F57" i="14"/>
  <c r="G57" i="14" s="1"/>
  <c r="I42" i="14"/>
  <c r="E63" i="14"/>
  <c r="AO102" i="14"/>
  <c r="S92" i="14" s="1"/>
  <c r="T92" i="14" s="1"/>
  <c r="E74" i="14" l="1"/>
  <c r="D74" i="14"/>
  <c r="F74" i="14"/>
  <c r="G74" i="14" s="1"/>
  <c r="I74" i="14"/>
  <c r="H74" i="14"/>
  <c r="Q66" i="14"/>
  <c r="V66" i="14"/>
  <c r="R66" i="14"/>
  <c r="S66" i="14"/>
  <c r="T66" i="14" s="1"/>
  <c r="V88" i="14"/>
  <c r="Q94" i="14"/>
  <c r="BH154" i="14" s="1"/>
  <c r="BK154" i="14" s="1"/>
  <c r="S94" i="14"/>
  <c r="T94" i="14" s="1"/>
  <c r="R94" i="14"/>
  <c r="V94" i="14"/>
  <c r="U94" i="14"/>
  <c r="S85" i="14"/>
  <c r="T85" i="14" s="1"/>
  <c r="U85" i="14"/>
  <c r="V85" i="14"/>
  <c r="Q85" i="14"/>
  <c r="BH145" i="14" s="1"/>
  <c r="BK145" i="14" s="1"/>
  <c r="S98" i="14"/>
  <c r="T98" i="14" s="1"/>
  <c r="U98" i="14"/>
  <c r="V89" i="14"/>
  <c r="Q88" i="14"/>
  <c r="BH148" i="14" s="1"/>
  <c r="BK148" i="14" s="1"/>
  <c r="S88" i="14"/>
  <c r="T88" i="14" s="1"/>
  <c r="R88" i="14"/>
  <c r="U88" i="14"/>
  <c r="Q50" i="14"/>
  <c r="BH110" i="14" s="1"/>
  <c r="BK110" i="14" s="1"/>
  <c r="V50" i="14"/>
  <c r="R50" i="14"/>
  <c r="U48" i="14"/>
  <c r="S50" i="14"/>
  <c r="T50" i="14" s="1"/>
  <c r="U50" i="14"/>
  <c r="Q48" i="14"/>
  <c r="BH108" i="14" s="1"/>
  <c r="BK108" i="14" s="1"/>
  <c r="S48" i="14"/>
  <c r="T48" i="14" s="1"/>
  <c r="R48" i="14"/>
  <c r="U49" i="14"/>
  <c r="S49" i="14"/>
  <c r="T49" i="14" s="1"/>
  <c r="V49" i="14"/>
  <c r="Q49" i="14"/>
  <c r="R49" i="14"/>
  <c r="U51" i="14"/>
  <c r="Q51" i="14"/>
  <c r="BH111" i="14" s="1"/>
  <c r="BK111" i="14" s="1"/>
  <c r="V51" i="14"/>
  <c r="S51" i="14"/>
  <c r="T51" i="14" s="1"/>
  <c r="R51" i="14"/>
  <c r="R62" i="14"/>
  <c r="V71" i="14"/>
  <c r="Q71" i="14"/>
  <c r="BH131" i="14" s="1"/>
  <c r="BK131" i="14" s="1"/>
  <c r="Q58" i="14"/>
  <c r="BH118" i="14" s="1"/>
  <c r="BK118" i="14" s="1"/>
  <c r="V64" i="14"/>
  <c r="Q64" i="14"/>
  <c r="BH124" i="14" s="1"/>
  <c r="BK124" i="14" s="1"/>
  <c r="R64" i="14"/>
  <c r="R76" i="14"/>
  <c r="S76" i="14"/>
  <c r="T76" i="14" s="1"/>
  <c r="V76" i="14"/>
  <c r="U76" i="14"/>
  <c r="U78" i="14"/>
  <c r="Q78" i="14"/>
  <c r="R85" i="14"/>
  <c r="V78" i="14"/>
  <c r="S78" i="14"/>
  <c r="T78" i="14" s="1"/>
  <c r="R78" i="14"/>
  <c r="S72" i="14"/>
  <c r="T72" i="14" s="1"/>
  <c r="V72" i="14"/>
  <c r="R72" i="14"/>
  <c r="Q72" i="14"/>
  <c r="BH132" i="14" s="1"/>
  <c r="BK132" i="14" s="1"/>
  <c r="U72" i="14"/>
  <c r="S58" i="14"/>
  <c r="T58" i="14" s="1"/>
  <c r="U58" i="14"/>
  <c r="R58" i="14"/>
  <c r="V61" i="14"/>
  <c r="S70" i="14"/>
  <c r="T70" i="14" s="1"/>
  <c r="U70" i="14"/>
  <c r="V70" i="14"/>
  <c r="U69" i="14"/>
  <c r="R69" i="14"/>
  <c r="Q69" i="14"/>
  <c r="BH129" i="14" s="1"/>
  <c r="BK129" i="14" s="1"/>
  <c r="V69" i="14"/>
  <c r="S69" i="14"/>
  <c r="T69" i="14" s="1"/>
  <c r="U59" i="14"/>
  <c r="Q61" i="14"/>
  <c r="BH121" i="14" s="1"/>
  <c r="BK121" i="14" s="1"/>
  <c r="S61" i="14"/>
  <c r="T61" i="14" s="1"/>
  <c r="U61" i="14"/>
  <c r="V59" i="14"/>
  <c r="Q59" i="14"/>
  <c r="BH119" i="14" s="1"/>
  <c r="BK119" i="14" s="1"/>
  <c r="R59" i="14"/>
  <c r="S59" i="14"/>
  <c r="T59" i="14" s="1"/>
  <c r="U92" i="14"/>
  <c r="R92" i="14"/>
  <c r="V92" i="14"/>
  <c r="Q92" i="14"/>
  <c r="BH152" i="14" s="1"/>
  <c r="BK152" i="14" s="1"/>
  <c r="I39" i="20"/>
  <c r="M39" i="20" s="1"/>
  <c r="I37" i="20"/>
  <c r="M37" i="20" s="1"/>
  <c r="I40" i="20"/>
  <c r="M40" i="20" s="1"/>
  <c r="I36" i="20"/>
  <c r="I38" i="20"/>
  <c r="M38" i="20" s="1"/>
  <c r="BH136" i="14"/>
  <c r="BK136" i="14" s="1"/>
  <c r="G89" i="14"/>
  <c r="BH151" i="14"/>
  <c r="BK151" i="14" s="1"/>
  <c r="T39" i="14"/>
  <c r="G98" i="14"/>
  <c r="G96" i="14"/>
  <c r="BH96" i="14"/>
  <c r="BK96" i="14" s="1"/>
  <c r="BH122" i="14"/>
  <c r="BK122" i="14" s="1"/>
  <c r="BH156" i="14"/>
  <c r="BK156" i="14" s="1"/>
  <c r="G81" i="14"/>
  <c r="BH139" i="14"/>
  <c r="BK139" i="14" s="1"/>
  <c r="BH153" i="14"/>
  <c r="BK153" i="14" s="1"/>
  <c r="BH147" i="14"/>
  <c r="BK147" i="14" s="1"/>
  <c r="BH140" i="14"/>
  <c r="BK140" i="14" s="1"/>
  <c r="BH125" i="14"/>
  <c r="BK125" i="14" s="1"/>
  <c r="BH133" i="14"/>
  <c r="BK133" i="14" s="1"/>
  <c r="BH116" i="14"/>
  <c r="BK116" i="14" s="1"/>
  <c r="BH92" i="14"/>
  <c r="BK92" i="14" s="1"/>
  <c r="G92" i="14"/>
  <c r="G90" i="14"/>
  <c r="G93" i="14"/>
  <c r="BH103" i="14"/>
  <c r="BK103" i="14" s="1"/>
  <c r="BH101" i="14"/>
  <c r="BK101" i="14" s="1"/>
  <c r="BH113" i="14"/>
  <c r="BK113" i="14" s="1"/>
  <c r="BH115" i="14"/>
  <c r="BK115" i="14" s="1"/>
  <c r="BH117" i="14"/>
  <c r="BK117" i="14" s="1"/>
  <c r="BH142" i="14"/>
  <c r="BK142" i="14" s="1"/>
  <c r="BH141" i="14"/>
  <c r="BK141" i="14" s="1"/>
  <c r="BH146" i="14"/>
  <c r="BK146" i="14" s="1"/>
  <c r="G39" i="14"/>
  <c r="BH157" i="14"/>
  <c r="BK157" i="14" s="1"/>
  <c r="BH158" i="14"/>
  <c r="BK158" i="14" s="1"/>
  <c r="G61" i="14"/>
  <c r="BH149" i="14"/>
  <c r="BK149" i="14" s="1"/>
  <c r="BH89" i="14"/>
  <c r="BK89" i="14" s="1"/>
  <c r="BH55" i="14"/>
  <c r="BK55" i="14" s="1"/>
  <c r="BH67" i="14"/>
  <c r="BK67" i="14" s="1"/>
  <c r="BH52" i="14"/>
  <c r="BK52" i="14" s="1"/>
  <c r="BH72" i="14"/>
  <c r="BK72" i="14" s="1"/>
  <c r="BH80" i="14"/>
  <c r="BK80" i="14" s="1"/>
  <c r="BH53" i="14"/>
  <c r="BK53" i="14" s="1"/>
  <c r="BH126" i="14"/>
  <c r="BK126" i="14" s="1"/>
  <c r="BH106" i="14"/>
  <c r="BK106" i="14" s="1"/>
  <c r="BH102" i="14"/>
  <c r="BK102" i="14" s="1"/>
  <c r="BH84" i="14"/>
  <c r="BK84" i="14" s="1"/>
  <c r="BH60" i="14"/>
  <c r="BK60" i="14" s="1"/>
  <c r="BH54" i="14"/>
  <c r="BK54" i="14" s="1"/>
  <c r="BH43" i="14"/>
  <c r="BK43" i="14" s="1"/>
  <c r="BH75" i="14"/>
  <c r="BK75" i="14" s="1"/>
  <c r="BH81" i="14"/>
  <c r="BK81" i="14" s="1"/>
  <c r="BH48" i="14"/>
  <c r="BK48" i="14" s="1"/>
  <c r="BH45" i="14"/>
  <c r="BK45" i="14" s="1"/>
  <c r="BH128" i="14"/>
  <c r="BK128" i="14" s="1"/>
  <c r="BH95" i="14"/>
  <c r="BK95" i="14" s="1"/>
  <c r="BH77" i="14"/>
  <c r="BK77" i="14" s="1"/>
  <c r="BH73" i="14"/>
  <c r="BK73" i="14" s="1"/>
  <c r="BH155" i="14"/>
  <c r="BK155" i="14" s="1"/>
  <c r="BH57" i="14"/>
  <c r="BK57" i="14" s="1"/>
  <c r="BH79" i="14"/>
  <c r="BK79" i="14" s="1"/>
  <c r="BH62" i="14"/>
  <c r="BK62" i="14" s="1"/>
  <c r="BH134" i="14"/>
  <c r="BK134" i="14" s="1"/>
  <c r="BH93" i="14"/>
  <c r="BK93" i="14" s="1"/>
  <c r="BH86" i="14"/>
  <c r="BK86" i="14" s="1"/>
  <c r="BH59" i="14"/>
  <c r="BK59" i="14" s="1"/>
  <c r="BH47" i="14"/>
  <c r="BK47" i="14" s="1"/>
  <c r="BH104" i="14"/>
  <c r="BK104" i="14" s="1"/>
  <c r="BH65" i="14"/>
  <c r="BK65" i="14" s="1"/>
  <c r="BH78" i="14"/>
  <c r="BK78" i="14" s="1"/>
  <c r="BH68" i="14"/>
  <c r="BK68" i="14" s="1"/>
  <c r="BH137" i="14"/>
  <c r="BK137" i="14" s="1"/>
  <c r="BH58" i="14"/>
  <c r="BK58" i="14" s="1"/>
  <c r="BH71" i="14"/>
  <c r="BK71" i="14" s="1"/>
  <c r="BH127" i="14"/>
  <c r="BK127" i="14" s="1"/>
  <c r="BH90" i="14"/>
  <c r="BK90" i="14" s="1"/>
  <c r="BH51" i="14"/>
  <c r="BK51" i="14" s="1"/>
  <c r="BH88" i="14"/>
  <c r="BK88" i="14" s="1"/>
  <c r="BH105" i="14"/>
  <c r="BK105" i="14" s="1"/>
  <c r="BH91" i="14"/>
  <c r="BK91" i="14" s="1"/>
  <c r="BH82" i="14"/>
  <c r="BK82" i="14" s="1"/>
  <c r="BH46" i="14"/>
  <c r="BK46" i="14" s="1"/>
  <c r="BH94" i="14"/>
  <c r="BK94" i="14" s="1"/>
  <c r="BH120" i="14"/>
  <c r="BK120" i="14" s="1"/>
  <c r="BH76" i="14"/>
  <c r="BK76" i="14" s="1"/>
  <c r="BH69" i="14"/>
  <c r="BK69" i="14" s="1"/>
  <c r="BH83" i="14"/>
  <c r="BK83" i="14" s="1"/>
  <c r="BH130" i="14"/>
  <c r="BK130" i="14" s="1"/>
  <c r="BH87" i="14"/>
  <c r="BK87" i="14" s="1"/>
  <c r="BH56" i="14"/>
  <c r="BK56" i="14" s="1"/>
  <c r="BH144" i="14"/>
  <c r="BK144" i="14" s="1"/>
  <c r="BH41" i="14"/>
  <c r="BK41" i="14" s="1"/>
  <c r="BH107" i="14"/>
  <c r="BK107" i="14" s="1"/>
  <c r="BH40" i="14"/>
  <c r="BK40" i="14" s="1"/>
  <c r="C40" i="14"/>
  <c r="C41" i="14" s="1"/>
  <c r="C42" i="14" s="1"/>
  <c r="C43" i="14" s="1"/>
  <c r="C44" i="14" s="1"/>
  <c r="C45" i="14" s="1"/>
  <c r="C46" i="14" s="1"/>
  <c r="C47" i="14" s="1"/>
  <c r="C48" i="14" s="1"/>
  <c r="C49" i="14" s="1"/>
  <c r="C50" i="14" s="1"/>
  <c r="C51" i="14" s="1"/>
  <c r="C52" i="14" s="1"/>
  <c r="C53" i="14" s="1"/>
  <c r="C54" i="14" s="1"/>
  <c r="C55" i="14" s="1"/>
  <c r="C56" i="14" s="1"/>
  <c r="C57" i="14" s="1"/>
  <c r="C58" i="14" s="1"/>
  <c r="C59" i="14" s="1"/>
  <c r="C60" i="14" s="1"/>
  <c r="BH85" i="14"/>
  <c r="BK85" i="14" s="1"/>
  <c r="BH49" i="14"/>
  <c r="BK49" i="14" s="1"/>
  <c r="BH64" i="14"/>
  <c r="BK64" i="14" s="1"/>
  <c r="BH150" i="14"/>
  <c r="BK150" i="14" s="1"/>
  <c r="BH66" i="14"/>
  <c r="BK66" i="14" s="1"/>
  <c r="BH74" i="14"/>
  <c r="BK74" i="14" s="1"/>
  <c r="BH70" i="14"/>
  <c r="BK70" i="14" s="1"/>
  <c r="BH97" i="14"/>
  <c r="BK97" i="14" s="1"/>
  <c r="BH114" i="14"/>
  <c r="BK114" i="14" s="1"/>
  <c r="BH63" i="14"/>
  <c r="BK63" i="14" s="1"/>
  <c r="BH112" i="14"/>
  <c r="BK112" i="14" s="1"/>
  <c r="BH143" i="14"/>
  <c r="BK143" i="14" s="1"/>
  <c r="BH42" i="14"/>
  <c r="BK42" i="14" s="1"/>
  <c r="BH98" i="14"/>
  <c r="BK98" i="14" s="1"/>
  <c r="BH44" i="14"/>
  <c r="BK44" i="14" s="1"/>
  <c r="BH99" i="14"/>
  <c r="BK99" i="14" s="1"/>
  <c r="BH135" i="14"/>
  <c r="BK135" i="14" s="1"/>
  <c r="BH50" i="14"/>
  <c r="BK50" i="14" s="1"/>
  <c r="BH123" i="14"/>
  <c r="BK123" i="14" s="1"/>
  <c r="BH100" i="14"/>
  <c r="BK100" i="14" s="1"/>
  <c r="I44" i="20" l="1"/>
  <c r="M44" i="20" s="1"/>
  <c r="I41" i="20"/>
  <c r="M41" i="20" s="1"/>
  <c r="BH109" i="14"/>
  <c r="BK109" i="14" s="1"/>
  <c r="BH138" i="14"/>
  <c r="BK138" i="14" s="1"/>
  <c r="I42" i="20"/>
  <c r="M42" i="20" s="1"/>
  <c r="I43" i="20"/>
  <c r="M43" i="20" s="1"/>
  <c r="I45" i="20"/>
  <c r="M45" i="20" s="1"/>
  <c r="M36" i="20"/>
  <c r="BH39" i="14"/>
  <c r="D33" i="14"/>
  <c r="E33" i="14" s="1"/>
  <c r="I99" i="14"/>
  <c r="R99" i="14"/>
  <c r="V99" i="14"/>
  <c r="U99" i="14"/>
  <c r="S99" i="14"/>
  <c r="T99" i="14"/>
  <c r="H99" i="14"/>
  <c r="D99" i="14"/>
  <c r="E99" i="14"/>
  <c r="J8" i="14"/>
  <c r="BH61" i="14"/>
  <c r="BK61" i="14" s="1"/>
  <c r="G99" i="14"/>
  <c r="C61" i="14"/>
  <c r="C62" i="14" s="1"/>
  <c r="C63" i="14" s="1"/>
  <c r="C64" i="14" s="1"/>
  <c r="C65" i="14" s="1"/>
  <c r="C66" i="14" s="1"/>
  <c r="C67" i="14" s="1"/>
  <c r="C68" i="14" s="1"/>
  <c r="C69" i="14" s="1"/>
  <c r="C70" i="14" s="1"/>
  <c r="C71" i="14" s="1"/>
  <c r="C72" i="14" s="1"/>
  <c r="C73" i="14" s="1"/>
  <c r="C74" i="14" s="1"/>
  <c r="C75" i="14" s="1"/>
  <c r="C76" i="14" s="1"/>
  <c r="C77" i="14" s="1"/>
  <c r="C78" i="14" s="1"/>
  <c r="C79" i="14" s="1"/>
  <c r="C80" i="14" s="1"/>
  <c r="C81" i="14" s="1"/>
  <c r="C82" i="14" s="1"/>
  <c r="C83" i="14" s="1"/>
  <c r="C84" i="14" s="1"/>
  <c r="C85" i="14" s="1"/>
  <c r="C86" i="14" s="1"/>
  <c r="C87" i="14" s="1"/>
  <c r="C88" i="14" s="1"/>
  <c r="C89" i="14" s="1"/>
  <c r="C90" i="14" s="1"/>
  <c r="C91" i="14" s="1"/>
  <c r="C92" i="14" s="1"/>
  <c r="C93" i="14" s="1"/>
  <c r="C94" i="14" s="1"/>
  <c r="C95" i="14" s="1"/>
  <c r="C96" i="14" s="1"/>
  <c r="C97" i="14" s="1"/>
  <c r="C98" i="14" s="1"/>
  <c r="P39" i="14" s="1"/>
  <c r="P40" i="14" s="1"/>
  <c r="P41" i="14" s="1"/>
  <c r="P42" i="14" s="1"/>
  <c r="P43" i="14" s="1"/>
  <c r="P44" i="14" s="1"/>
  <c r="P45" i="14" s="1"/>
  <c r="P46" i="14" s="1"/>
  <c r="P47" i="14" s="1"/>
  <c r="P48" i="14" s="1"/>
  <c r="P49" i="14" s="1"/>
  <c r="P50" i="14" s="1"/>
  <c r="P51" i="14" s="1"/>
  <c r="P52" i="14" s="1"/>
  <c r="P53" i="14" s="1"/>
  <c r="P54" i="14" s="1"/>
  <c r="P55" i="14" s="1"/>
  <c r="P56" i="14" s="1"/>
  <c r="P57" i="14" s="1"/>
  <c r="P58" i="14" s="1"/>
  <c r="P59" i="14" s="1"/>
  <c r="P60" i="14" s="1"/>
  <c r="P61" i="14" s="1"/>
  <c r="P62" i="14" s="1"/>
  <c r="P63" i="14" s="1"/>
  <c r="P64" i="14" s="1"/>
  <c r="P65" i="14" s="1"/>
  <c r="P66" i="14" s="1"/>
  <c r="P67" i="14" s="1"/>
  <c r="P68" i="14" s="1"/>
  <c r="P69" i="14" s="1"/>
  <c r="P70" i="14" s="1"/>
  <c r="P71" i="14" s="1"/>
  <c r="P72" i="14" s="1"/>
  <c r="P73" i="14" s="1"/>
  <c r="P74" i="14" s="1"/>
  <c r="P75" i="14" s="1"/>
  <c r="P76" i="14" s="1"/>
  <c r="P77" i="14" s="1"/>
  <c r="P78" i="14" s="1"/>
  <c r="P79" i="14" s="1"/>
  <c r="P80" i="14" s="1"/>
  <c r="P81" i="14" s="1"/>
  <c r="P82" i="14" s="1"/>
  <c r="P83" i="14" s="1"/>
  <c r="P84" i="14" s="1"/>
  <c r="P85" i="14" s="1"/>
  <c r="P86" i="14" s="1"/>
  <c r="P87" i="14" s="1"/>
  <c r="P88" i="14" s="1"/>
  <c r="P89" i="14" s="1"/>
  <c r="P90" i="14" s="1"/>
  <c r="P91" i="14" s="1"/>
  <c r="P92" i="14" s="1"/>
  <c r="P93" i="14" s="1"/>
  <c r="P94" i="14" s="1"/>
  <c r="P95" i="14" s="1"/>
  <c r="P96" i="14" s="1"/>
  <c r="P97" i="14" s="1"/>
  <c r="P98" i="14" s="1"/>
  <c r="Q99" i="14"/>
  <c r="F99" i="14"/>
  <c r="I46" i="20" l="1"/>
  <c r="I48" i="20" s="1"/>
  <c r="R48" i="20" s="1"/>
  <c r="M46" i="20"/>
  <c r="S48" i="20" s="1"/>
  <c r="S9" i="14"/>
  <c r="BK39" i="14"/>
  <c r="BK36" i="14" s="1"/>
  <c r="T27" i="14" s="1"/>
  <c r="BH29" i="14"/>
  <c r="T21" i="14" s="1"/>
  <c r="BH36" i="14"/>
  <c r="BH28" i="14"/>
  <c r="T20" i="14" s="1"/>
  <c r="BH30" i="14"/>
  <c r="T22" i="14" s="1"/>
  <c r="BH27" i="14"/>
  <c r="T19" i="14" s="1"/>
  <c r="BH26" i="14"/>
  <c r="T18" i="14" s="1"/>
  <c r="I50" i="20" l="1"/>
  <c r="T23" i="14"/>
  <c r="BH31" i="14"/>
</calcChain>
</file>

<file path=xl/sharedStrings.xml><?xml version="1.0" encoding="utf-8"?>
<sst xmlns="http://schemas.openxmlformats.org/spreadsheetml/2006/main" count="520" uniqueCount="219">
  <si>
    <t>Monto a contratar</t>
  </si>
  <si>
    <t>Cuota de Inscripción de 3.5%, se cubre en dos partes:</t>
  </si>
  <si>
    <t>Anticipos</t>
  </si>
  <si>
    <t>Integrante</t>
  </si>
  <si>
    <t>Total</t>
  </si>
  <si>
    <t>Coeficiente de Adjudicación</t>
  </si>
  <si>
    <t>Plazo</t>
  </si>
  <si>
    <t>Valor cuota</t>
  </si>
  <si>
    <t>#</t>
  </si>
  <si>
    <t>Valor actual</t>
  </si>
  <si>
    <t>restante</t>
  </si>
  <si>
    <t>mensual</t>
  </si>
  <si>
    <t>Entero</t>
  </si>
  <si>
    <t>CUOTAS ANTICIPADAS</t>
  </si>
  <si>
    <t>Decimal</t>
  </si>
  <si>
    <t>Mensual</t>
  </si>
  <si>
    <t>Al contratar</t>
  </si>
  <si>
    <t>Al adjudicar</t>
  </si>
  <si>
    <t>Aportación</t>
  </si>
  <si>
    <t>IVA Admón.</t>
  </si>
  <si>
    <t>Cuota mensual</t>
  </si>
  <si>
    <t>Cuota Admón</t>
  </si>
  <si>
    <t>IVA Admon</t>
  </si>
  <si>
    <t>Seg Vida</t>
  </si>
  <si>
    <t>Acumulada</t>
  </si>
  <si>
    <t>Al  mes</t>
  </si>
  <si>
    <t>Mensualidades</t>
  </si>
  <si>
    <t>INTEGRANTE</t>
  </si>
  <si>
    <t>Desglose de cuotas INTEGRANTE</t>
  </si>
  <si>
    <t>ADJUDICATARIO</t>
  </si>
  <si>
    <t>No. de Cuota</t>
  </si>
  <si>
    <t>Totales</t>
  </si>
  <si>
    <t>VALIDACIÓN DEL ENGANCHE</t>
  </si>
  <si>
    <t>Valor Cuota Mensual</t>
  </si>
  <si>
    <t>Valor Anticipo</t>
  </si>
  <si>
    <t>CUOTAS AL ADJUDICAR</t>
  </si>
  <si>
    <t>Cálculo al mes</t>
  </si>
  <si>
    <t>Columna 1</t>
  </si>
  <si>
    <t>Columna 2</t>
  </si>
  <si>
    <t>Valor de los anticipos</t>
  </si>
  <si>
    <t>Pago de Anticipos</t>
  </si>
  <si>
    <t>Cuotas mensuales</t>
  </si>
  <si>
    <t>Adjudicado</t>
  </si>
  <si>
    <t>CUOTAS MENSUALES</t>
  </si>
  <si>
    <t>Cuota Anticipada</t>
  </si>
  <si>
    <t>Adjudicatario/Adjudicado</t>
  </si>
  <si>
    <t>Total x Cuotas</t>
  </si>
  <si>
    <t>No. cuotas</t>
  </si>
  <si>
    <t>Cuotas Restantes</t>
  </si>
  <si>
    <t>Cuota Promedio</t>
  </si>
  <si>
    <t>Monto Adjudicado</t>
  </si>
  <si>
    <t>Monto Contratado:</t>
  </si>
  <si>
    <t>Monto Adjudicado:</t>
  </si>
  <si>
    <t>Monto de Anticipos:</t>
  </si>
  <si>
    <t>Reducción de cuotas:</t>
  </si>
  <si>
    <t>Cuotas Mensuales restantes:</t>
  </si>
  <si>
    <t>Anticipada</t>
  </si>
  <si>
    <t>Resumen inicial</t>
  </si>
  <si>
    <t>Una vez adjudicado ahorras si</t>
  </si>
  <si>
    <t>En etapa</t>
  </si>
  <si>
    <t>1er evento de adjudicación: 19/05/2024</t>
  </si>
  <si>
    <t>Se lanzó el 17 de abril con el grupo 901</t>
  </si>
  <si>
    <t>Generales</t>
  </si>
  <si>
    <t>Cuotas pagadas para Adjudicar:</t>
  </si>
  <si>
    <t>Domiciliar después de contratar:</t>
  </si>
  <si>
    <t>Domiciliar al contratar:</t>
  </si>
  <si>
    <t>Score en Buró de Crédito &gt;657pts:</t>
  </si>
  <si>
    <t>6 meses:</t>
  </si>
  <si>
    <t>12 cuotas</t>
  </si>
  <si>
    <t>24 cuotas</t>
  </si>
  <si>
    <t>36 cuotas</t>
  </si>
  <si>
    <t>Descuentos</t>
  </si>
  <si>
    <t>En cuotas mensuales:</t>
  </si>
  <si>
    <t>En cuotas anticipadas</t>
  </si>
  <si>
    <t>Score en Buró de Crédito &gt;657 pts:</t>
  </si>
  <si>
    <t>Referidos:</t>
  </si>
  <si>
    <t>Descuento Total</t>
  </si>
  <si>
    <t>Descuentos en Cuotas de Admón. cuotas mensuales:</t>
  </si>
  <si>
    <t>Descuentos en Cuotas de Admón. cuotas anticipadas:</t>
  </si>
  <si>
    <r>
      <t>pagas Cuotas Anticipadas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(1)</t>
    </r>
  </si>
  <si>
    <t>Anotaciones</t>
  </si>
  <si>
    <t>Las cifras mostradas en este simulador están apegadas al contrato de adhesión y políticas internas, sin embargo, son específicas para las condiciones aquí señaladas, cualquier modificación en el comportamiento y monto de los pagos modificará los resultados.</t>
  </si>
  <si>
    <t>Nota:</t>
  </si>
  <si>
    <t xml:space="preserve">A partir de la </t>
  </si>
  <si>
    <t>Concepto</t>
  </si>
  <si>
    <t>Porcentaje</t>
  </si>
  <si>
    <t>Monto descontado</t>
  </si>
  <si>
    <t>Acumulación de pagos puntuales</t>
  </si>
  <si>
    <t>6 meses puntuales:</t>
  </si>
  <si>
    <t>Beneficios adicionales.</t>
  </si>
  <si>
    <t>Monto ahorrado en Cuota de Admón.:</t>
  </si>
  <si>
    <t>5% de la Cuota</t>
  </si>
  <si>
    <t>de Admón.</t>
  </si>
  <si>
    <t>Cuotas mensuales como Integrante</t>
  </si>
  <si>
    <t>Descuento en Cuotas de Administración</t>
  </si>
  <si>
    <t>Comprobación de ingresos</t>
  </si>
  <si>
    <t>Descuento CA</t>
  </si>
  <si>
    <t>* Al momento de adjudicar</t>
  </si>
  <si>
    <t>(Capacidad de pago)*</t>
  </si>
  <si>
    <t>Seg. Vida</t>
  </si>
  <si>
    <t>Seg. Daños</t>
  </si>
  <si>
    <t>Cuotas para Adjudicación Obligatoria</t>
  </si>
  <si>
    <t>Cuota Admon.</t>
  </si>
  <si>
    <t>Inscripción / Inicio</t>
  </si>
  <si>
    <t>Capacidad de Endeudamiento</t>
  </si>
  <si>
    <t>3 veces la mensualidad</t>
  </si>
  <si>
    <r>
      <t xml:space="preserve">adjudicación </t>
    </r>
    <r>
      <rPr>
        <sz val="10"/>
        <rFont val="Aptos Narrow"/>
        <family val="2"/>
      </rPr>
      <t>(4)</t>
    </r>
  </si>
  <si>
    <t>a Capital</t>
  </si>
  <si>
    <t>Cuota de</t>
  </si>
  <si>
    <t>Admon.</t>
  </si>
  <si>
    <t>IVA Cuota</t>
  </si>
  <si>
    <t>Admón.</t>
  </si>
  <si>
    <t>Seguro de</t>
  </si>
  <si>
    <t>Vida</t>
  </si>
  <si>
    <t>Daños</t>
  </si>
  <si>
    <t>(2) En Domiciliación solo puede tener uno de los dos descuentos.</t>
  </si>
  <si>
    <t>(4) Se aplica un año después de adjudicar</t>
  </si>
  <si>
    <r>
      <t xml:space="preserve">Veces </t>
    </r>
    <r>
      <rPr>
        <sz val="11"/>
        <rFont val="Aptos Narrow"/>
        <family val="2"/>
      </rPr>
      <t>(5)</t>
    </r>
  </si>
  <si>
    <t>(5) Aplica solo a capital desde el 1er recibo como Adjudicatario</t>
  </si>
  <si>
    <t xml:space="preserve"> en Buró de Crédito x 2.2 veces </t>
  </si>
  <si>
    <t>SIMULADOR DE CORRIDA DEL AUTOFINANCIAMIENTO HIR CASA MODELO FLEX</t>
  </si>
  <si>
    <t>Cuotas Anticipadas pagadas</t>
  </si>
  <si>
    <t>No. Anticipos</t>
  </si>
  <si>
    <t>Cuotas</t>
  </si>
  <si>
    <t>Valor de Mensualidad HIR Casa + Pagos</t>
  </si>
  <si>
    <t>Acumulación de pagos mensuales puntuales después de escriturar:</t>
  </si>
  <si>
    <t>Cuota INTEGRANTE acumulada</t>
  </si>
  <si>
    <t>Monto financiado</t>
  </si>
  <si>
    <t>Veces el crédito</t>
  </si>
  <si>
    <t>(6) Crédito = Monto Adjudicado - Enganche</t>
  </si>
  <si>
    <t>(6)</t>
  </si>
  <si>
    <r>
      <t xml:space="preserve">Plazo Restante </t>
    </r>
    <r>
      <rPr>
        <sz val="14"/>
        <rFont val="Arial"/>
        <family val="2"/>
      </rPr>
      <t>(Meses y Cuotas)</t>
    </r>
  </si>
  <si>
    <r>
      <t xml:space="preserve">Cuotas Anticipadas </t>
    </r>
    <r>
      <rPr>
        <sz val="13"/>
        <color theme="8"/>
        <rFont val="Aptos Narrow"/>
        <family val="2"/>
      </rPr>
      <t>**</t>
    </r>
  </si>
  <si>
    <r>
      <t xml:space="preserve">Factor </t>
    </r>
    <r>
      <rPr>
        <b/>
        <sz val="12"/>
        <rFont val="Arial Narrow"/>
        <family val="2"/>
      </rPr>
      <t>de</t>
    </r>
    <r>
      <rPr>
        <b/>
        <sz val="12"/>
        <rFont val="Arial"/>
        <family val="2"/>
      </rPr>
      <t xml:space="preserve"> Actualización Anual</t>
    </r>
  </si>
  <si>
    <r>
      <t xml:space="preserve">Domiciliar al contratar </t>
    </r>
    <r>
      <rPr>
        <sz val="10"/>
        <color rgb="FF00B050"/>
        <rFont val="Arial"/>
        <family val="2"/>
      </rPr>
      <t>(2)</t>
    </r>
    <r>
      <rPr>
        <sz val="11"/>
        <color rgb="FF0070C0"/>
        <rFont val="Arial"/>
        <family val="2"/>
      </rPr>
      <t>:</t>
    </r>
  </si>
  <si>
    <r>
      <t xml:space="preserve">Domiciliar después de contratar </t>
    </r>
    <r>
      <rPr>
        <sz val="10"/>
        <color rgb="FF00B050"/>
        <rFont val="Arial"/>
        <family val="2"/>
      </rPr>
      <t>(2)</t>
    </r>
    <r>
      <rPr>
        <sz val="11"/>
        <color rgb="FF0070C0"/>
        <rFont val="Arial"/>
        <family val="2"/>
      </rPr>
      <t>:</t>
    </r>
  </si>
  <si>
    <r>
      <t xml:space="preserve">Referidos </t>
    </r>
    <r>
      <rPr>
        <sz val="10"/>
        <color rgb="FF00B050"/>
        <rFont val="Arial"/>
        <family val="2"/>
      </rPr>
      <t>(3)</t>
    </r>
    <r>
      <rPr>
        <sz val="11"/>
        <color rgb="FF0070C0"/>
        <rFont val="Arial"/>
        <family val="2"/>
      </rPr>
      <t>:</t>
    </r>
  </si>
  <si>
    <r>
      <t>Domiciliar al contratar</t>
    </r>
    <r>
      <rPr>
        <sz val="10"/>
        <color rgb="FF0070C0"/>
        <rFont val="Arial"/>
        <family val="2"/>
      </rPr>
      <t xml:space="preserve"> </t>
    </r>
    <r>
      <rPr>
        <sz val="10"/>
        <color rgb="FF00B050"/>
        <rFont val="Arial"/>
        <family val="2"/>
      </rPr>
      <t>(2)</t>
    </r>
    <r>
      <rPr>
        <sz val="11"/>
        <color rgb="FF0070C0"/>
        <rFont val="Arial"/>
        <family val="2"/>
      </rPr>
      <t>:</t>
    </r>
  </si>
  <si>
    <r>
      <t>Referidos</t>
    </r>
    <r>
      <rPr>
        <sz val="10"/>
        <color rgb="FF0070C0"/>
        <rFont val="Arial"/>
        <family val="2"/>
      </rPr>
      <t xml:space="preserve"> </t>
    </r>
    <r>
      <rPr>
        <sz val="10"/>
        <color rgb="FF00B050"/>
        <rFont val="Arial"/>
        <family val="2"/>
      </rPr>
      <t>(3)</t>
    </r>
    <r>
      <rPr>
        <sz val="11"/>
        <color rgb="FF0070C0"/>
        <rFont val="Arial"/>
        <family val="2"/>
      </rPr>
      <t>:</t>
    </r>
  </si>
  <si>
    <t>(3) En Referidos el beneficio es por 12 meses de descuento del 5% por cada referido.</t>
  </si>
  <si>
    <t>Adjudicación</t>
  </si>
  <si>
    <t>Flex</t>
  </si>
  <si>
    <t>Flex extranjeros</t>
  </si>
  <si>
    <t>Selección</t>
  </si>
  <si>
    <t>CAMPOS EDITABLES</t>
  </si>
  <si>
    <t>MONTO A CONTRATAR</t>
  </si>
  <si>
    <t>Producto FLEX</t>
  </si>
  <si>
    <t>+ Cuota de Inscripción</t>
  </si>
  <si>
    <t>Beneficiones adicionales</t>
  </si>
  <si>
    <t>+ Al adjudicar</t>
  </si>
  <si>
    <t>= Cuota de Inscripción total</t>
  </si>
  <si>
    <t>ACTUALIZACIÓN ANUAL</t>
  </si>
  <si>
    <t>5% por Domiciliar al Contratar.</t>
  </si>
  <si>
    <t>ADJUDICADO</t>
  </si>
  <si>
    <t>5% si se tiene un Score en Buró de Crédito mayor a 657 Puntos.</t>
  </si>
  <si>
    <t>Enganche</t>
  </si>
  <si>
    <t>(*)</t>
  </si>
  <si>
    <t>Pago en Modalidad</t>
  </si>
  <si>
    <t>Enganche Selección</t>
  </si>
  <si>
    <t>Inversionista</t>
  </si>
  <si>
    <t>Ahorrador</t>
  </si>
  <si>
    <t>Cuotas anticipadas</t>
  </si>
  <si>
    <t>(3) Los Descuentos en Anticipos es el beneficio por pagar cuotas mensuales puntuales</t>
  </si>
  <si>
    <t>12 meses puntuales 10% en Cuotas de Admón en Anticipos</t>
  </si>
  <si>
    <t>24 meses puntuales 20% en Cuotas de Admón en Anticipos</t>
  </si>
  <si>
    <t>36 meses puntuales en adelante 25% en Cuotas de Admón en Anticipos</t>
  </si>
  <si>
    <t>Descuentos iniciales (1)</t>
  </si>
  <si>
    <t>Opciones de tipo de inmueble y seguros (2)</t>
  </si>
  <si>
    <t>Casilla</t>
  </si>
  <si>
    <t>%</t>
  </si>
  <si>
    <t>Domiciliación</t>
  </si>
  <si>
    <t>Score BC</t>
  </si>
  <si>
    <t>Terreno</t>
  </si>
  <si>
    <t>Dueñas</t>
  </si>
  <si>
    <t>Seg. Mancomunado</t>
  </si>
  <si>
    <t xml:space="preserve">Descuentos en </t>
  </si>
  <si>
    <t>CasillaDomiciliación</t>
  </si>
  <si>
    <r>
      <t xml:space="preserve">Anticipos </t>
    </r>
    <r>
      <rPr>
        <b/>
        <sz val="11"/>
        <color theme="1"/>
        <rFont val="Calibri"/>
        <family val="2"/>
        <scheme val="minor"/>
      </rPr>
      <t>(3)</t>
    </r>
  </si>
  <si>
    <t>CasillaScore</t>
  </si>
  <si>
    <t>Valor de las cuotas</t>
  </si>
  <si>
    <t>AÑO</t>
  </si>
  <si>
    <t>APORTACION</t>
  </si>
  <si>
    <t>ADMON</t>
  </si>
  <si>
    <t>IVA</t>
  </si>
  <si>
    <t>SEGUROS</t>
  </si>
  <si>
    <t>CUOTA MENSUAL</t>
  </si>
  <si>
    <t>CUOTA ANTICIPADA</t>
  </si>
  <si>
    <t>TOTAL POR AÑO CUOTAS MENSUALES</t>
  </si>
  <si>
    <t>PAGO DE</t>
  </si>
  <si>
    <t>CUOTAS</t>
  </si>
  <si>
    <t>ANTICIPOS</t>
  </si>
  <si>
    <t>ANTICIPADAS</t>
  </si>
  <si>
    <t>Año</t>
  </si>
  <si>
    <t>sin descuentos</t>
  </si>
  <si>
    <t>Opciones</t>
  </si>
  <si>
    <t>CasillaTerreno</t>
  </si>
  <si>
    <t>CasillaDueñas</t>
  </si>
  <si>
    <t>CasillaMancomunado</t>
  </si>
  <si>
    <t>CasillaDescuentoAnticipos</t>
  </si>
  <si>
    <t>TOTAL A PAGAR MENSUALIDADES (sin anticipos)</t>
  </si>
  <si>
    <t>TOTAL DE ANTICIPOS PAGADOS</t>
  </si>
  <si>
    <t>TOTAL PAGADO (CUOTAS)</t>
  </si>
  <si>
    <t>TOTAL PAGADO</t>
  </si>
  <si>
    <t>AHORRO POR CUOTAS ANTICIPADAS</t>
  </si>
  <si>
    <r>
      <t xml:space="preserve">Anticipo de cuotas </t>
    </r>
    <r>
      <rPr>
        <sz val="10"/>
        <color theme="0"/>
        <rFont val="Arial"/>
        <family val="2"/>
      </rPr>
      <t>(1)</t>
    </r>
  </si>
  <si>
    <t>Monto a Contratar</t>
  </si>
  <si>
    <r>
      <rPr>
        <b/>
        <sz val="11"/>
        <color theme="1"/>
        <rFont val="Aptos Narrow"/>
        <family val="2"/>
      </rPr>
      <t>(*)</t>
    </r>
    <r>
      <rPr>
        <sz val="11"/>
        <color theme="1"/>
        <rFont val="Aptos Narrow"/>
        <family val="2"/>
      </rPr>
      <t xml:space="preserve"> Seleccionar tipo de Enganche</t>
    </r>
  </si>
  <si>
    <r>
      <t xml:space="preserve">En modalidad </t>
    </r>
    <r>
      <rPr>
        <b/>
        <sz val="11"/>
        <color theme="1"/>
        <rFont val="Aptos Narrow"/>
        <family val="2"/>
      </rPr>
      <t>Ahorrador</t>
    </r>
    <r>
      <rPr>
        <sz val="11"/>
        <color theme="1"/>
        <rFont val="Aptos Narrow"/>
        <family val="2"/>
      </rPr>
      <t xml:space="preserve"> capturamos el número de mensualidades que 
el cliente tiene proyectado permanecer como INTEGRANTE.</t>
    </r>
  </si>
  <si>
    <t>Mensuales</t>
  </si>
  <si>
    <t xml:space="preserve"> + Anticipos</t>
  </si>
  <si>
    <t>Ahorro</t>
  </si>
  <si>
    <t>ENGANCHE</t>
  </si>
  <si>
    <t>1er Cuota al adjudicar</t>
  </si>
  <si>
    <t>(1) Descuentos en Cuota de Administración de mensualidades:</t>
  </si>
  <si>
    <t xml:space="preserve">(2) Opciones por Tipo de Inmueble y Seguro: </t>
  </si>
  <si>
    <r>
      <t xml:space="preserve">Terreno- Si el crédito es para adquisición de </t>
    </r>
    <r>
      <rPr>
        <i/>
        <sz val="11"/>
        <color theme="1"/>
        <rFont val="Aptos Narrow"/>
        <family val="2"/>
      </rPr>
      <t>Terreno</t>
    </r>
    <r>
      <rPr>
        <sz val="11"/>
        <color theme="1"/>
        <rFont val="Aptos Narrow"/>
        <family val="2"/>
      </rPr>
      <t>, no hay cobro de Seguro de Daños.</t>
    </r>
  </si>
  <si>
    <t>Dueñas- En la modalidad DUEÑAS el Seguro de Vida es de 4%.</t>
  </si>
  <si>
    <t xml:space="preserve">S. Mancomunado- Si el Cotitular es el conyugue en regimen de Bienes Mancomunados el </t>
  </si>
  <si>
    <t>seguro es de 7%; si es por Separación se pagan dos seguros totales del 5% cada 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</si>
</sst>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0.00000%"/>
    <numFmt numFmtId="166" formatCode="#,##0.0000_ ;[Red]\-#,##0.0000\ "/>
    <numFmt numFmtId="167" formatCode="#,##0_ ;[Red]\-#,##0\ "/>
    <numFmt numFmtId="168" formatCode="0.0%"/>
    <numFmt numFmtId="169" formatCode="0.0"/>
    <numFmt numFmtId="170" formatCode="#,##0.00_ ;\-#,##0.00;_-\ &quot;-&quot;_-"/>
    <numFmt numFmtId="171" formatCode="&quot;$&quot;#,##0.00"/>
    <numFmt numFmtId="172" formatCode="#,##0.000000_ ;\-#,##0.000000;_-\ &quot;-&quot;_-"/>
    <numFmt numFmtId="173" formatCode="0.000%"/>
    <numFmt numFmtId="174" formatCode="#,##0.00000_ ;\-#,##0.00000;_-\ &quot;-&quot;_-"/>
    <numFmt numFmtId="175" formatCode="#,##0.00000_ ;\-#,##0.00000\ "/>
  </numFmts>
  <fonts count="9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sz val="11"/>
      <color indexed="56"/>
      <name val="Arial"/>
      <family val="2"/>
    </font>
    <font>
      <sz val="11"/>
      <color theme="1"/>
      <name val="Arial"/>
      <family val="2"/>
    </font>
    <font>
      <b/>
      <sz val="11"/>
      <color theme="8"/>
      <name val="Arial"/>
      <family val="2"/>
    </font>
    <font>
      <sz val="11"/>
      <color theme="8"/>
      <name val="Arial"/>
      <family val="2"/>
    </font>
    <font>
      <sz val="11.5"/>
      <name val="Arial"/>
      <family val="2"/>
    </font>
    <font>
      <sz val="11"/>
      <color rgb="FFFFC000"/>
      <name val="Arial"/>
      <family val="2"/>
    </font>
    <font>
      <sz val="11"/>
      <color theme="5" tint="-0.499984740745262"/>
      <name val="Arial"/>
      <family val="2"/>
    </font>
    <font>
      <sz val="11"/>
      <color theme="5" tint="-0.249977111117893"/>
      <name val="Arial"/>
      <family val="2"/>
    </font>
    <font>
      <b/>
      <sz val="12"/>
      <color theme="5" tint="-0.499984740745262"/>
      <name val="Arial"/>
      <family val="2"/>
    </font>
    <font>
      <b/>
      <sz val="12"/>
      <color theme="8"/>
      <name val="Arial"/>
      <family val="2"/>
    </font>
    <font>
      <b/>
      <sz val="12"/>
      <color theme="0"/>
      <name val="Arial"/>
      <family val="2"/>
    </font>
    <font>
      <b/>
      <sz val="12"/>
      <color theme="5" tint="-0.249977111117893"/>
      <name val="Arial"/>
      <family val="2"/>
    </font>
    <font>
      <b/>
      <sz val="11"/>
      <color theme="0" tint="-0.499984740745262"/>
      <name val="Arial"/>
      <family val="2"/>
    </font>
    <font>
      <sz val="12"/>
      <color theme="8"/>
      <name val="Arial"/>
      <family val="2"/>
    </font>
    <font>
      <sz val="8"/>
      <color theme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sz val="12"/>
      <color theme="4"/>
      <name val="Arial Narrow"/>
      <family val="2"/>
    </font>
    <font>
      <sz val="11"/>
      <color theme="5" tint="-0.249977111117893"/>
      <name val="Aptos Narrow"/>
      <family val="2"/>
    </font>
    <font>
      <sz val="10"/>
      <color theme="0"/>
      <name val="Arial"/>
      <family val="2"/>
    </font>
    <font>
      <sz val="11"/>
      <color theme="4"/>
      <name val="Arial"/>
      <family val="2"/>
    </font>
    <font>
      <sz val="10"/>
      <color rgb="FF00B05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9"/>
      <color rgb="FF0070C0"/>
      <name val="Arial"/>
      <family val="2"/>
    </font>
    <font>
      <b/>
      <sz val="20"/>
      <color theme="0"/>
      <name val="Arial"/>
      <family val="2"/>
    </font>
    <font>
      <sz val="10"/>
      <color theme="4" tint="0.39997558519241921"/>
      <name val="Arial"/>
      <family val="2"/>
    </font>
    <font>
      <sz val="11"/>
      <name val="Aptos Narrow"/>
      <family val="2"/>
    </font>
    <font>
      <sz val="12"/>
      <color theme="0"/>
      <name val="Arial"/>
      <family val="2"/>
    </font>
    <font>
      <sz val="13"/>
      <name val="Aptos Narrow"/>
      <family val="2"/>
    </font>
    <font>
      <b/>
      <sz val="11"/>
      <color rgb="FF492FE5"/>
      <name val="Arial"/>
      <family val="2"/>
    </font>
    <font>
      <sz val="11"/>
      <color rgb="FF492FE5"/>
      <name val="Arial"/>
      <family val="2"/>
    </font>
    <font>
      <b/>
      <sz val="12"/>
      <color rgb="FF492FE5"/>
      <name val="Arial"/>
      <family val="2"/>
    </font>
    <font>
      <b/>
      <sz val="11"/>
      <color rgb="FF492FE5"/>
      <name val="Aptos Narrow"/>
      <family val="2"/>
    </font>
    <font>
      <sz val="11"/>
      <color rgb="FF492FE5"/>
      <name val="Aptos Narrow"/>
      <family val="2"/>
    </font>
    <font>
      <sz val="10"/>
      <name val="Aptos Narrow"/>
      <family val="2"/>
    </font>
    <font>
      <sz val="11"/>
      <color theme="0"/>
      <name val="Aptos Narrow"/>
      <family val="2"/>
    </font>
    <font>
      <b/>
      <sz val="11"/>
      <color theme="5" tint="-0.249977111117893"/>
      <name val="Arial"/>
      <family val="2"/>
    </font>
    <font>
      <sz val="12"/>
      <color theme="8"/>
      <name val="Aptos Narrow"/>
      <family val="2"/>
    </font>
    <font>
      <sz val="12"/>
      <color theme="8"/>
      <name val="Arial Narrow"/>
      <family val="2"/>
    </font>
    <font>
      <sz val="12"/>
      <color rgb="FF492FE5"/>
      <name val="Arial Narrow"/>
      <family val="2"/>
    </font>
    <font>
      <sz val="12"/>
      <color theme="5" tint="-0.249977111117893"/>
      <name val="Arial Narrow"/>
      <family val="2"/>
    </font>
    <font>
      <sz val="11"/>
      <color theme="7" tint="-0.249977111117893"/>
      <name val="Aptos Narrow"/>
      <family val="2"/>
    </font>
    <font>
      <b/>
      <sz val="11"/>
      <color theme="5" tint="-0.249977111117893"/>
      <name val="Aptos Narrow"/>
      <family val="2"/>
    </font>
    <font>
      <sz val="12"/>
      <name val="Aptos Narrow"/>
      <family val="2"/>
    </font>
    <font>
      <b/>
      <sz val="12"/>
      <color theme="0"/>
      <name val="Aptos Narrow"/>
      <family val="2"/>
    </font>
    <font>
      <sz val="14"/>
      <name val="Arial"/>
      <family val="2"/>
    </font>
    <font>
      <sz val="13"/>
      <color theme="8"/>
      <name val="Aptos Narrow"/>
      <family val="2"/>
    </font>
    <font>
      <b/>
      <sz val="12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1"/>
      <name val="Aptos Narrow"/>
      <family val="2"/>
    </font>
    <font>
      <sz val="11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0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0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Aptos Narrow"/>
      <family val="2"/>
    </font>
    <font>
      <sz val="12"/>
      <color theme="1"/>
      <name val="Calibri"/>
      <family val="2"/>
      <scheme val="minor"/>
    </font>
    <font>
      <b/>
      <sz val="11"/>
      <name val="Aptos Narrow"/>
      <family val="2"/>
    </font>
    <font>
      <b/>
      <sz val="10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8"/>
      <color theme="0" tint="-0.249977111117893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492FE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hair">
        <color theme="0" tint="-0.14993743705557422"/>
      </bottom>
      <diagonal/>
    </border>
    <border>
      <left/>
      <right/>
      <top style="thin">
        <color theme="0" tint="-0.14996795556505021"/>
      </top>
      <bottom style="hair">
        <color theme="0" tint="-0.1499374370555742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/>
      <diagonal/>
    </border>
    <border>
      <left/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thick">
        <color rgb="FF492FE5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 style="thin">
        <color indexed="64"/>
      </bottom>
      <diagonal/>
    </border>
    <border>
      <left style="medium">
        <color theme="1" tint="0.499984740745262"/>
      </left>
      <right/>
      <top/>
      <bottom style="thin">
        <color auto="1"/>
      </bottom>
      <diagonal/>
    </border>
    <border>
      <left/>
      <right style="medium">
        <color theme="1" tint="0.499984740745262"/>
      </right>
      <top style="thin">
        <color indexed="64"/>
      </top>
      <bottom/>
      <diagonal/>
    </border>
    <border>
      <left style="medium">
        <color theme="1" tint="0.499984740745262"/>
      </left>
      <right/>
      <top style="thin">
        <color auto="1"/>
      </top>
      <bottom/>
      <diagonal/>
    </border>
    <border>
      <left style="medium">
        <color theme="1" tint="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 tint="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</borders>
  <cellStyleXfs count="11">
    <xf numFmtId="0" fontId="0" fillId="0" borderId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594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1" fillId="0" borderId="0" xfId="0" applyNumberFormat="1" applyFont="1"/>
    <xf numFmtId="0" fontId="11" fillId="0" borderId="0" xfId="0" applyFont="1"/>
    <xf numFmtId="164" fontId="4" fillId="0" borderId="0" xfId="0" applyNumberFormat="1" applyFont="1"/>
    <xf numFmtId="0" fontId="11" fillId="0" borderId="0" xfId="0" applyFont="1" applyAlignment="1">
      <alignment horizontal="center"/>
    </xf>
    <xf numFmtId="4" fontId="5" fillId="0" borderId="0" xfId="0" applyNumberFormat="1" applyFont="1"/>
    <xf numFmtId="164" fontId="5" fillId="0" borderId="0" xfId="0" applyNumberFormat="1" applyFont="1"/>
    <xf numFmtId="164" fontId="1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11" fillId="9" borderId="0" xfId="0" applyFont="1" applyFill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164" fontId="11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4" fontId="11" fillId="0" borderId="0" xfId="1" applyNumberFormat="1" applyFont="1" applyFill="1" applyBorder="1"/>
    <xf numFmtId="3" fontId="5" fillId="7" borderId="0" xfId="0" applyNumberFormat="1" applyFont="1" applyFill="1" applyAlignment="1">
      <alignment horizontal="center"/>
    </xf>
    <xf numFmtId="164" fontId="13" fillId="7" borderId="0" xfId="0" applyNumberFormat="1" applyFont="1" applyFill="1" applyAlignment="1">
      <alignment horizontal="right"/>
    </xf>
    <xf numFmtId="0" fontId="5" fillId="7" borderId="0" xfId="0" applyFont="1" applyFill="1" applyAlignment="1">
      <alignment horizontal="center"/>
    </xf>
    <xf numFmtId="3" fontId="5" fillId="0" borderId="0" xfId="0" applyNumberFormat="1" applyFont="1" applyAlignment="1">
      <alignment horizontal="center"/>
    </xf>
    <xf numFmtId="164" fontId="15" fillId="0" borderId="5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center"/>
    </xf>
    <xf numFmtId="164" fontId="18" fillId="0" borderId="0" xfId="0" applyNumberFormat="1" applyFont="1"/>
    <xf numFmtId="164" fontId="0" fillId="0" borderId="0" xfId="0" applyNumberFormat="1"/>
    <xf numFmtId="164" fontId="19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0" fontId="20" fillId="0" borderId="0" xfId="0" applyFont="1" applyAlignment="1">
      <alignment horizontal="center"/>
    </xf>
    <xf numFmtId="164" fontId="20" fillId="0" borderId="0" xfId="0" applyNumberFormat="1" applyFont="1"/>
    <xf numFmtId="164" fontId="21" fillId="0" borderId="0" xfId="0" applyNumberFormat="1" applyFont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166" fontId="11" fillId="0" borderId="0" xfId="0" applyNumberFormat="1" applyFont="1"/>
    <xf numFmtId="0" fontId="10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3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right"/>
    </xf>
    <xf numFmtId="0" fontId="26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5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0" fillId="2" borderId="0" xfId="0" applyFill="1"/>
    <xf numFmtId="164" fontId="4" fillId="2" borderId="0" xfId="0" applyNumberFormat="1" applyFont="1" applyFill="1"/>
    <xf numFmtId="10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" fontId="5" fillId="2" borderId="0" xfId="1" applyNumberFormat="1" applyFont="1" applyFill="1" applyBorder="1" applyAlignment="1" applyProtection="1">
      <alignment vertical="center"/>
    </xf>
    <xf numFmtId="10" fontId="5" fillId="2" borderId="6" xfId="0" applyNumberFormat="1" applyFont="1" applyFill="1" applyBorder="1" applyAlignment="1">
      <alignment horizontal="center"/>
    </xf>
    <xf numFmtId="4" fontId="5" fillId="2" borderId="6" xfId="1" applyNumberFormat="1" applyFont="1" applyFill="1" applyBorder="1" applyAlignment="1" applyProtection="1">
      <alignment vertical="center"/>
    </xf>
    <xf numFmtId="164" fontId="0" fillId="2" borderId="0" xfId="0" applyNumberFormat="1" applyFill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indent="4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center" vertical="center"/>
    </xf>
    <xf numFmtId="164" fontId="11" fillId="2" borderId="0" xfId="0" applyNumberFormat="1" applyFont="1" applyFill="1"/>
    <xf numFmtId="4" fontId="5" fillId="2" borderId="0" xfId="1" applyNumberFormat="1" applyFont="1" applyFill="1" applyBorder="1" applyProtection="1"/>
    <xf numFmtId="4" fontId="11" fillId="2" borderId="0" xfId="1" applyNumberFormat="1" applyFont="1" applyFill="1" applyBorder="1" applyProtection="1"/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10" fontId="10" fillId="6" borderId="0" xfId="2" applyNumberFormat="1" applyFont="1" applyFill="1" applyBorder="1" applyAlignment="1" applyProtection="1">
      <alignment horizontal="center" vertical="center"/>
    </xf>
    <xf numFmtId="10" fontId="10" fillId="9" borderId="0" xfId="2" applyNumberFormat="1" applyFont="1" applyFill="1" applyBorder="1" applyAlignment="1" applyProtection="1">
      <alignment horizontal="center" vertical="center"/>
    </xf>
    <xf numFmtId="0" fontId="0" fillId="2" borderId="9" xfId="0" applyFill="1" applyBorder="1"/>
    <xf numFmtId="0" fontId="17" fillId="2" borderId="0" xfId="0" applyFont="1" applyFill="1" applyAlignment="1">
      <alignment vertical="center"/>
    </xf>
    <xf numFmtId="0" fontId="10" fillId="2" borderId="0" xfId="0" applyFont="1" applyFill="1"/>
    <xf numFmtId="0" fontId="27" fillId="0" borderId="0" xfId="0" applyFont="1" applyAlignment="1">
      <alignment horizontal="center"/>
    </xf>
    <xf numFmtId="164" fontId="27" fillId="0" borderId="0" xfId="0" applyNumberFormat="1" applyFont="1"/>
    <xf numFmtId="0" fontId="11" fillId="2" borderId="0" xfId="0" applyFont="1" applyFill="1" applyAlignment="1">
      <alignment horizontal="left" vertical="center" indent="4"/>
    </xf>
    <xf numFmtId="0" fontId="5" fillId="2" borderId="16" xfId="0" applyFont="1" applyFill="1" applyBorder="1"/>
    <xf numFmtId="0" fontId="4" fillId="2" borderId="16" xfId="0" applyFont="1" applyFill="1" applyBorder="1"/>
    <xf numFmtId="0" fontId="5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/>
    <xf numFmtId="0" fontId="17" fillId="2" borderId="16" xfId="0" applyFont="1" applyFill="1" applyBorder="1" applyAlignment="1">
      <alignment vertical="center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5" fillId="0" borderId="0" xfId="0" applyFont="1" applyAlignment="1">
      <alignment vertical="center"/>
    </xf>
    <xf numFmtId="164" fontId="29" fillId="0" borderId="0" xfId="0" applyNumberFormat="1" applyFont="1"/>
    <xf numFmtId="4" fontId="28" fillId="2" borderId="16" xfId="0" quotePrefix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4" fontId="25" fillId="2" borderId="11" xfId="1" applyNumberFormat="1" applyFont="1" applyFill="1" applyBorder="1" applyAlignment="1" applyProtection="1">
      <alignment horizontal="center" vertical="center"/>
    </xf>
    <xf numFmtId="164" fontId="25" fillId="2" borderId="20" xfId="0" applyNumberFormat="1" applyFont="1" applyFill="1" applyBorder="1" applyAlignment="1">
      <alignment vertical="center"/>
    </xf>
    <xf numFmtId="4" fontId="31" fillId="2" borderId="0" xfId="1" applyNumberFormat="1" applyFont="1" applyFill="1" applyBorder="1" applyAlignment="1" applyProtection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4" fontId="25" fillId="2" borderId="0" xfId="1" applyNumberFormat="1" applyFont="1" applyFill="1" applyBorder="1" applyAlignment="1" applyProtection="1">
      <alignment horizontal="center" vertical="center"/>
    </xf>
    <xf numFmtId="164" fontId="25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horizontal="center" vertical="center"/>
    </xf>
    <xf numFmtId="167" fontId="8" fillId="2" borderId="0" xfId="0" applyNumberFormat="1" applyFont="1" applyFill="1" applyAlignment="1">
      <alignment horizontal="right" vertical="center" wrapText="1" indent="1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4" fontId="34" fillId="2" borderId="0" xfId="1" applyNumberFormat="1" applyFont="1" applyFill="1" applyBorder="1" applyAlignment="1" applyProtection="1">
      <alignment horizontal="left" vertical="center" wrapText="1"/>
    </xf>
    <xf numFmtId="0" fontId="9" fillId="6" borderId="0" xfId="0" applyFont="1" applyFill="1"/>
    <xf numFmtId="0" fontId="5" fillId="6" borderId="0" xfId="0" applyFont="1" applyFill="1"/>
    <xf numFmtId="0" fontId="35" fillId="2" borderId="0" xfId="0" quotePrefix="1" applyFont="1" applyFill="1" applyAlignment="1">
      <alignment horizontal="left" vertical="center"/>
    </xf>
    <xf numFmtId="167" fontId="5" fillId="0" borderId="0" xfId="0" applyNumberFormat="1" applyFont="1" applyProtection="1">
      <protection locked="0"/>
    </xf>
    <xf numFmtId="167" fontId="11" fillId="0" borderId="0" xfId="0" applyNumberFormat="1" applyFont="1" applyProtection="1">
      <protection locked="0"/>
    </xf>
    <xf numFmtId="164" fontId="28" fillId="0" borderId="0" xfId="0" applyNumberFormat="1" applyFont="1"/>
    <xf numFmtId="164" fontId="0" fillId="2" borderId="9" xfId="0" applyNumberFormat="1" applyFill="1" applyBorder="1"/>
    <xf numFmtId="164" fontId="9" fillId="2" borderId="9" xfId="0" applyNumberFormat="1" applyFont="1" applyFill="1" applyBorder="1"/>
    <xf numFmtId="164" fontId="5" fillId="2" borderId="0" xfId="0" applyNumberFormat="1" applyFont="1" applyFill="1"/>
    <xf numFmtId="4" fontId="25" fillId="2" borderId="22" xfId="1" applyNumberFormat="1" applyFont="1" applyFill="1" applyBorder="1" applyAlignment="1" applyProtection="1">
      <alignment horizontal="center" vertical="center"/>
    </xf>
    <xf numFmtId="164" fontId="25" fillId="2" borderId="21" xfId="0" applyNumberFormat="1" applyFont="1" applyFill="1" applyBorder="1" applyAlignment="1">
      <alignment vertical="center"/>
    </xf>
    <xf numFmtId="0" fontId="4" fillId="2" borderId="0" xfId="0" applyFont="1" applyFill="1" applyProtection="1">
      <protection locked="0"/>
    </xf>
    <xf numFmtId="164" fontId="37" fillId="2" borderId="0" xfId="0" applyNumberFormat="1" applyFont="1" applyFill="1" applyAlignment="1">
      <alignment horizontal="right"/>
    </xf>
    <xf numFmtId="164" fontId="37" fillId="2" borderId="6" xfId="0" applyNumberFormat="1" applyFont="1" applyFill="1" applyBorder="1" applyAlignment="1">
      <alignment horizontal="right"/>
    </xf>
    <xf numFmtId="164" fontId="36" fillId="2" borderId="0" xfId="0" applyNumberFormat="1" applyFont="1" applyFill="1"/>
    <xf numFmtId="0" fontId="25" fillId="0" borderId="0" xfId="0" applyFont="1" applyProtection="1">
      <protection locked="0"/>
    </xf>
    <xf numFmtId="0" fontId="38" fillId="0" borderId="0" xfId="0" applyFont="1" applyProtection="1">
      <protection locked="0"/>
    </xf>
    <xf numFmtId="164" fontId="38" fillId="0" borderId="0" xfId="0" applyNumberFormat="1" applyFont="1" applyProtection="1">
      <protection locked="0"/>
    </xf>
    <xf numFmtId="164" fontId="38" fillId="0" borderId="0" xfId="0" applyNumberFormat="1" applyFont="1" applyAlignment="1" applyProtection="1">
      <alignment vertical="center"/>
      <protection locked="0"/>
    </xf>
    <xf numFmtId="0" fontId="37" fillId="0" borderId="0" xfId="0" applyFont="1" applyProtection="1">
      <protection locked="0"/>
    </xf>
    <xf numFmtId="164" fontId="25" fillId="0" borderId="0" xfId="0" applyNumberFormat="1" applyFont="1" applyProtection="1">
      <protection locked="0"/>
    </xf>
    <xf numFmtId="164" fontId="37" fillId="0" borderId="0" xfId="0" applyNumberFormat="1" applyFont="1" applyProtection="1">
      <protection locked="0"/>
    </xf>
    <xf numFmtId="0" fontId="38" fillId="0" borderId="0" xfId="0" applyFont="1" applyAlignment="1" applyProtection="1">
      <alignment horizontal="center" vertical="center"/>
      <protection locked="0"/>
    </xf>
    <xf numFmtId="164" fontId="38" fillId="0" borderId="0" xfId="0" applyNumberFormat="1" applyFont="1" applyAlignment="1" applyProtection="1">
      <alignment vertical="center" wrapText="1"/>
      <protection locked="0"/>
    </xf>
    <xf numFmtId="164" fontId="38" fillId="0" borderId="0" xfId="0" applyNumberFormat="1" applyFont="1" applyAlignment="1" applyProtection="1">
      <alignment horizontal="left" vertical="center" wrapText="1"/>
      <protection locked="0"/>
    </xf>
    <xf numFmtId="164" fontId="38" fillId="0" borderId="0" xfId="0" applyNumberFormat="1" applyFont="1" applyAlignment="1" applyProtection="1">
      <alignment horizontal="right" vertical="center" wrapText="1"/>
      <protection locked="0"/>
    </xf>
    <xf numFmtId="164" fontId="37" fillId="0" borderId="0" xfId="2" applyNumberFormat="1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43" fontId="38" fillId="0" borderId="0" xfId="3" applyFont="1" applyProtection="1">
      <protection locked="0"/>
    </xf>
    <xf numFmtId="0" fontId="25" fillId="0" borderId="0" xfId="0" applyFont="1" applyAlignment="1" applyProtection="1">
      <alignment horizontal="left"/>
      <protection locked="0"/>
    </xf>
    <xf numFmtId="43" fontId="25" fillId="0" borderId="0" xfId="3" applyFont="1" applyAlignment="1" applyProtection="1">
      <alignment horizontal="center"/>
      <protection locked="0"/>
    </xf>
    <xf numFmtId="167" fontId="38" fillId="0" borderId="0" xfId="0" applyNumberFormat="1" applyFont="1" applyAlignment="1" applyProtection="1">
      <alignment horizontal="right"/>
      <protection locked="0"/>
    </xf>
    <xf numFmtId="167" fontId="25" fillId="0" borderId="0" xfId="0" applyNumberFormat="1" applyFont="1" applyAlignment="1" applyProtection="1">
      <alignment horizontal="right"/>
      <protection locked="0"/>
    </xf>
    <xf numFmtId="10" fontId="25" fillId="0" borderId="0" xfId="2" applyNumberFormat="1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164" fontId="38" fillId="0" borderId="0" xfId="0" applyNumberFormat="1" applyFont="1" applyAlignment="1" applyProtection="1">
      <alignment horizontal="center"/>
      <protection locked="0"/>
    </xf>
    <xf numFmtId="167" fontId="38" fillId="0" borderId="0" xfId="3" applyNumberFormat="1" applyFont="1" applyProtection="1">
      <protection locked="0"/>
    </xf>
    <xf numFmtId="43" fontId="38" fillId="0" borderId="0" xfId="0" applyNumberFormat="1" applyFont="1" applyProtection="1">
      <protection locked="0"/>
    </xf>
    <xf numFmtId="0" fontId="37" fillId="0" borderId="0" xfId="0" applyFont="1" applyAlignment="1" applyProtection="1">
      <alignment horizontal="right"/>
      <protection locked="0"/>
    </xf>
    <xf numFmtId="9" fontId="25" fillId="0" borderId="0" xfId="2" applyFont="1" applyFill="1" applyAlignment="1" applyProtection="1">
      <alignment horizontal="center"/>
      <protection locked="0"/>
    </xf>
    <xf numFmtId="0" fontId="37" fillId="0" borderId="0" xfId="0" applyFont="1"/>
    <xf numFmtId="2" fontId="38" fillId="0" borderId="0" xfId="0" applyNumberFormat="1" applyFont="1" applyAlignment="1" applyProtection="1">
      <alignment horizontal="center"/>
      <protection locked="0"/>
    </xf>
    <xf numFmtId="2" fontId="25" fillId="0" borderId="0" xfId="0" applyNumberFormat="1" applyFont="1" applyAlignment="1" applyProtection="1">
      <alignment horizontal="center"/>
      <protection locked="0"/>
    </xf>
    <xf numFmtId="164" fontId="5" fillId="2" borderId="0" xfId="1" applyNumberFormat="1" applyFont="1" applyFill="1" applyBorder="1" applyAlignment="1" applyProtection="1">
      <alignment horizontal="right"/>
      <protection hidden="1"/>
    </xf>
    <xf numFmtId="164" fontId="5" fillId="2" borderId="0" xfId="1" applyNumberFormat="1" applyFont="1" applyFill="1" applyBorder="1" applyAlignment="1" applyProtection="1">
      <protection hidden="1"/>
    </xf>
    <xf numFmtId="164" fontId="5" fillId="2" borderId="0" xfId="0" applyNumberFormat="1" applyFont="1" applyFill="1" applyAlignment="1" applyProtection="1">
      <alignment horizontal="right"/>
      <protection hidden="1"/>
    </xf>
    <xf numFmtId="164" fontId="5" fillId="2" borderId="6" xfId="1" applyNumberFormat="1" applyFont="1" applyFill="1" applyBorder="1" applyAlignment="1" applyProtection="1">
      <alignment horizontal="right"/>
      <protection hidden="1"/>
    </xf>
    <xf numFmtId="164" fontId="5" fillId="2" borderId="6" xfId="0" applyNumberFormat="1" applyFont="1" applyFill="1" applyBorder="1" applyAlignment="1" applyProtection="1">
      <alignment horizontal="right"/>
      <protection hidden="1"/>
    </xf>
    <xf numFmtId="3" fontId="8" fillId="2" borderId="0" xfId="0" applyNumberFormat="1" applyFont="1" applyFill="1" applyAlignment="1" applyProtection="1">
      <alignment horizontal="right" inden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3" fontId="10" fillId="2" borderId="0" xfId="0" applyNumberFormat="1" applyFont="1" applyFill="1" applyAlignment="1" applyProtection="1">
      <alignment horizontal="right" indent="1"/>
      <protection hidden="1"/>
    </xf>
    <xf numFmtId="3" fontId="10" fillId="2" borderId="0" xfId="0" applyNumberFormat="1" applyFont="1" applyFill="1" applyAlignment="1" applyProtection="1">
      <alignment horizontal="right" vertical="center" indent="1"/>
      <protection hidden="1"/>
    </xf>
    <xf numFmtId="4" fontId="32" fillId="2" borderId="0" xfId="0" quotePrefix="1" applyNumberFormat="1" applyFont="1" applyFill="1" applyAlignment="1" applyProtection="1">
      <alignment vertical="top"/>
      <protection hidden="1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0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left" vertical="center"/>
    </xf>
    <xf numFmtId="9" fontId="41" fillId="2" borderId="0" xfId="2" quotePrefix="1" applyFont="1" applyFill="1" applyBorder="1" applyAlignment="1">
      <alignment horizontal="center" vertical="center"/>
    </xf>
    <xf numFmtId="164" fontId="41" fillId="2" borderId="0" xfId="2" quotePrefix="1" applyNumberFormat="1" applyFont="1" applyFill="1" applyBorder="1" applyAlignment="1">
      <alignment horizontal="right" vertical="center"/>
    </xf>
    <xf numFmtId="168" fontId="41" fillId="2" borderId="0" xfId="2" quotePrefix="1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horizontal="left" vertical="center" wrapText="1"/>
    </xf>
    <xf numFmtId="0" fontId="42" fillId="2" borderId="0" xfId="0" applyFont="1" applyFill="1"/>
    <xf numFmtId="0" fontId="41" fillId="2" borderId="0" xfId="0" applyFont="1" applyFill="1" applyAlignment="1">
      <alignment vertical="center"/>
    </xf>
    <xf numFmtId="0" fontId="42" fillId="2" borderId="0" xfId="0" applyFont="1" applyFill="1" applyProtection="1">
      <protection locked="0"/>
    </xf>
    <xf numFmtId="0" fontId="42" fillId="2" borderId="0" xfId="0" applyFont="1" applyFill="1" applyAlignment="1">
      <alignment horizontal="left" vertical="center" indent="2"/>
    </xf>
    <xf numFmtId="164" fontId="34" fillId="2" borderId="0" xfId="1" applyNumberFormat="1" applyFont="1" applyFill="1" applyBorder="1" applyAlignment="1" applyProtection="1">
      <alignment horizontal="right" vertical="center" wrapText="1"/>
    </xf>
    <xf numFmtId="0" fontId="10" fillId="2" borderId="6" xfId="0" applyFont="1" applyFill="1" applyBorder="1" applyAlignment="1">
      <alignment horizontal="center" vertical="center"/>
    </xf>
    <xf numFmtId="0" fontId="5" fillId="16" borderId="0" xfId="0" applyFont="1" applyFill="1"/>
    <xf numFmtId="0" fontId="11" fillId="16" borderId="23" xfId="0" applyFont="1" applyFill="1" applyBorder="1"/>
    <xf numFmtId="0" fontId="5" fillId="16" borderId="24" xfId="0" applyFont="1" applyFill="1" applyBorder="1"/>
    <xf numFmtId="0" fontId="5" fillId="16" borderId="25" xfId="0" applyFont="1" applyFill="1" applyBorder="1"/>
    <xf numFmtId="0" fontId="0" fillId="16" borderId="26" xfId="0" applyFill="1" applyBorder="1" applyProtection="1">
      <protection locked="0"/>
    </xf>
    <xf numFmtId="0" fontId="0" fillId="16" borderId="27" xfId="0" applyFill="1" applyBorder="1" applyProtection="1">
      <protection locked="0"/>
    </xf>
    <xf numFmtId="0" fontId="5" fillId="16" borderId="27" xfId="0" applyFont="1" applyFill="1" applyBorder="1"/>
    <xf numFmtId="0" fontId="0" fillId="16" borderId="28" xfId="0" applyFill="1" applyBorder="1" applyProtection="1">
      <protection locked="0"/>
    </xf>
    <xf numFmtId="4" fontId="5" fillId="16" borderId="29" xfId="0" applyNumberFormat="1" applyFont="1" applyFill="1" applyBorder="1"/>
    <xf numFmtId="0" fontId="5" fillId="16" borderId="30" xfId="0" applyFont="1" applyFill="1" applyBorder="1"/>
    <xf numFmtId="0" fontId="9" fillId="9" borderId="0" xfId="0" applyFont="1" applyFill="1" applyAlignment="1">
      <alignment horizontal="center"/>
    </xf>
    <xf numFmtId="0" fontId="4" fillId="6" borderId="0" xfId="0" applyFont="1" applyFill="1"/>
    <xf numFmtId="0" fontId="7" fillId="17" borderId="13" xfId="0" applyFont="1" applyFill="1" applyBorder="1" applyAlignment="1">
      <alignment vertical="center" wrapText="1"/>
    </xf>
    <xf numFmtId="0" fontId="7" fillId="17" borderId="13" xfId="0" applyFont="1" applyFill="1" applyBorder="1" applyAlignment="1">
      <alignment vertical="center"/>
    </xf>
    <xf numFmtId="0" fontId="6" fillId="17" borderId="13" xfId="0" applyFont="1" applyFill="1" applyBorder="1" applyAlignment="1">
      <alignment vertical="center"/>
    </xf>
    <xf numFmtId="0" fontId="11" fillId="17" borderId="13" xfId="0" applyFont="1" applyFill="1" applyBorder="1" applyAlignment="1">
      <alignment vertical="center" wrapText="1"/>
    </xf>
    <xf numFmtId="0" fontId="45" fillId="17" borderId="13" xfId="0" applyFont="1" applyFill="1" applyBorder="1" applyAlignment="1">
      <alignment vertical="center"/>
    </xf>
    <xf numFmtId="0" fontId="5" fillId="17" borderId="16" xfId="0" applyFont="1" applyFill="1" applyBorder="1"/>
    <xf numFmtId="0" fontId="5" fillId="4" borderId="0" xfId="0" applyFont="1" applyFill="1" applyAlignment="1">
      <alignment horizontal="center"/>
    </xf>
    <xf numFmtId="164" fontId="43" fillId="2" borderId="42" xfId="2" quotePrefix="1" applyNumberFormat="1" applyFont="1" applyFill="1" applyBorder="1" applyAlignment="1">
      <alignment horizontal="right" vertical="center"/>
    </xf>
    <xf numFmtId="164" fontId="42" fillId="0" borderId="0" xfId="0" applyNumberFormat="1" applyFont="1"/>
    <xf numFmtId="9" fontId="42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168" fontId="42" fillId="0" borderId="0" xfId="0" applyNumberFormat="1" applyFont="1" applyAlignment="1">
      <alignment horizontal="center"/>
    </xf>
    <xf numFmtId="164" fontId="43" fillId="2" borderId="0" xfId="2" quotePrefix="1" applyNumberFormat="1" applyFont="1" applyFill="1" applyBorder="1" applyAlignment="1">
      <alignment horizontal="right" vertical="center"/>
    </xf>
    <xf numFmtId="164" fontId="11" fillId="2" borderId="0" xfId="0" applyNumberFormat="1" applyFont="1" applyFill="1" applyAlignment="1">
      <alignment vertical="center"/>
    </xf>
    <xf numFmtId="164" fontId="46" fillId="0" borderId="0" xfId="0" applyNumberFormat="1" applyFont="1"/>
    <xf numFmtId="164" fontId="4" fillId="0" borderId="43" xfId="0" applyNumberFormat="1" applyFont="1" applyBorder="1"/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right" vertical="center" wrapText="1"/>
    </xf>
    <xf numFmtId="0" fontId="47" fillId="2" borderId="0" xfId="0" applyFont="1" applyFill="1" applyAlignment="1">
      <alignment vertical="center"/>
    </xf>
    <xf numFmtId="0" fontId="0" fillId="2" borderId="0" xfId="0" applyFill="1" applyAlignment="1">
      <alignment horizontal="center" vertical="top" wrapText="1"/>
    </xf>
    <xf numFmtId="0" fontId="22" fillId="5" borderId="0" xfId="0" applyFont="1" applyFill="1" applyAlignment="1">
      <alignment horizontal="center" vertical="center"/>
    </xf>
    <xf numFmtId="0" fontId="12" fillId="2" borderId="44" xfId="0" applyFont="1" applyFill="1" applyBorder="1"/>
    <xf numFmtId="0" fontId="9" fillId="2" borderId="9" xfId="0" applyFont="1" applyFill="1" applyBorder="1"/>
    <xf numFmtId="0" fontId="4" fillId="2" borderId="10" xfId="0" applyFont="1" applyFill="1" applyBorder="1" applyProtection="1">
      <protection locked="0"/>
    </xf>
    <xf numFmtId="0" fontId="41" fillId="2" borderId="0" xfId="0" applyFont="1" applyFill="1" applyAlignment="1">
      <alignment horizontal="left" vertical="center" indent="1"/>
    </xf>
    <xf numFmtId="0" fontId="7" fillId="2" borderId="44" xfId="0" applyFont="1" applyFill="1" applyBorder="1"/>
    <xf numFmtId="0" fontId="4" fillId="17" borderId="15" xfId="0" applyFont="1" applyFill="1" applyBorder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right"/>
    </xf>
    <xf numFmtId="164" fontId="10" fillId="2" borderId="0" xfId="0" applyNumberFormat="1" applyFont="1" applyFill="1"/>
    <xf numFmtId="0" fontId="10" fillId="18" borderId="0" xfId="0" applyFont="1" applyFill="1" applyAlignment="1">
      <alignment horizontal="left"/>
    </xf>
    <xf numFmtId="0" fontId="4" fillId="18" borderId="0" xfId="0" applyFont="1" applyFill="1" applyAlignment="1">
      <alignment horizontal="left"/>
    </xf>
    <xf numFmtId="0" fontId="11" fillId="18" borderId="0" xfId="0" applyFont="1" applyFill="1" applyAlignment="1">
      <alignment horizontal="left"/>
    </xf>
    <xf numFmtId="4" fontId="5" fillId="18" borderId="0" xfId="1" applyNumberFormat="1" applyFont="1" applyFill="1" applyBorder="1" applyProtection="1"/>
    <xf numFmtId="0" fontId="10" fillId="18" borderId="0" xfId="0" applyFont="1" applyFill="1" applyAlignment="1">
      <alignment horizontal="center"/>
    </xf>
    <xf numFmtId="10" fontId="10" fillId="13" borderId="0" xfId="0" applyNumberFormat="1" applyFont="1" applyFill="1" applyAlignment="1">
      <alignment horizontal="center"/>
    </xf>
    <xf numFmtId="4" fontId="10" fillId="13" borderId="0" xfId="0" applyNumberFormat="1" applyFont="1" applyFill="1"/>
    <xf numFmtId="4" fontId="10" fillId="13" borderId="0" xfId="1" applyNumberFormat="1" applyFont="1" applyFill="1" applyBorder="1" applyAlignment="1" applyProtection="1">
      <alignment horizontal="center"/>
    </xf>
    <xf numFmtId="3" fontId="10" fillId="13" borderId="0" xfId="1" applyNumberFormat="1" applyFont="1" applyFill="1" applyBorder="1" applyAlignment="1" applyProtection="1">
      <protection locked="0"/>
    </xf>
    <xf numFmtId="0" fontId="57" fillId="2" borderId="0" xfId="0" applyFont="1" applyFill="1"/>
    <xf numFmtId="0" fontId="10" fillId="19" borderId="0" xfId="0" applyFont="1" applyFill="1" applyAlignment="1">
      <alignment horizontal="left"/>
    </xf>
    <xf numFmtId="0" fontId="0" fillId="2" borderId="0" xfId="0" applyFill="1" applyAlignment="1">
      <alignment vertical="top" wrapText="1"/>
    </xf>
    <xf numFmtId="4" fontId="11" fillId="20" borderId="0" xfId="1" applyNumberFormat="1" applyFont="1" applyFill="1" applyBorder="1" applyAlignment="1" applyProtection="1">
      <alignment horizontal="center" vertical="center" wrapText="1"/>
    </xf>
    <xf numFmtId="0" fontId="11" fillId="20" borderId="0" xfId="0" applyFont="1" applyFill="1" applyAlignment="1">
      <alignment horizontal="center" vertical="center" wrapText="1"/>
    </xf>
    <xf numFmtId="164" fontId="11" fillId="20" borderId="0" xfId="0" applyNumberFormat="1" applyFont="1" applyFill="1" applyAlignment="1">
      <alignment horizontal="right"/>
    </xf>
    <xf numFmtId="164" fontId="11" fillId="20" borderId="6" xfId="0" applyNumberFormat="1" applyFont="1" applyFill="1" applyBorder="1" applyAlignment="1">
      <alignment horizontal="right"/>
    </xf>
    <xf numFmtId="0" fontId="10" fillId="21" borderId="0" xfId="0" applyFont="1" applyFill="1" applyAlignment="1">
      <alignment horizontal="center" vertical="center" wrapText="1"/>
    </xf>
    <xf numFmtId="0" fontId="23" fillId="22" borderId="0" xfId="0" applyFont="1" applyFill="1" applyAlignment="1">
      <alignment horizontal="left" vertical="center"/>
    </xf>
    <xf numFmtId="0" fontId="33" fillId="22" borderId="0" xfId="0" applyFont="1" applyFill="1" applyAlignment="1">
      <alignment horizontal="left"/>
    </xf>
    <xf numFmtId="0" fontId="23" fillId="22" borderId="0" xfId="0" applyFont="1" applyFill="1" applyAlignment="1">
      <alignment horizontal="left"/>
    </xf>
    <xf numFmtId="0" fontId="12" fillId="22" borderId="0" xfId="0" applyFont="1" applyFill="1" applyAlignment="1">
      <alignment horizontal="center"/>
    </xf>
    <xf numFmtId="3" fontId="10" fillId="20" borderId="0" xfId="1" applyNumberFormat="1" applyFont="1" applyFill="1" applyBorder="1" applyAlignment="1" applyProtection="1"/>
    <xf numFmtId="0" fontId="23" fillId="17" borderId="0" xfId="0" applyFont="1" applyFill="1"/>
    <xf numFmtId="0" fontId="48" fillId="17" borderId="0" xfId="0" applyFont="1" applyFill="1"/>
    <xf numFmtId="164" fontId="23" fillId="17" borderId="0" xfId="0" applyNumberFormat="1" applyFont="1" applyFill="1"/>
    <xf numFmtId="164" fontId="23" fillId="22" borderId="0" xfId="0" applyNumberFormat="1" applyFont="1" applyFill="1"/>
    <xf numFmtId="0" fontId="10" fillId="20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49" fillId="2" borderId="0" xfId="0" applyFont="1" applyFill="1" applyAlignment="1">
      <alignment horizontal="left" vertical="center" indent="5"/>
    </xf>
    <xf numFmtId="0" fontId="42" fillId="2" borderId="41" xfId="0" applyFont="1" applyFill="1" applyBorder="1" applyAlignment="1" applyProtection="1">
      <alignment horizontal="center" vertical="center"/>
      <protection locked="0"/>
    </xf>
    <xf numFmtId="4" fontId="58" fillId="2" borderId="0" xfId="1" applyNumberFormat="1" applyFont="1" applyFill="1" applyBorder="1" applyAlignment="1" applyProtection="1">
      <alignment vertical="center"/>
      <protection hidden="1"/>
    </xf>
    <xf numFmtId="4" fontId="58" fillId="2" borderId="0" xfId="1" applyNumberFormat="1" applyFont="1" applyFill="1" applyBorder="1" applyAlignment="1" applyProtection="1">
      <alignment vertical="center" wrapText="1"/>
      <protection hidden="1"/>
    </xf>
    <xf numFmtId="4" fontId="59" fillId="2" borderId="0" xfId="1" applyNumberFormat="1" applyFont="1" applyFill="1" applyBorder="1" applyAlignment="1" applyProtection="1">
      <alignment horizontal="left" vertical="center" wrapText="1"/>
    </xf>
    <xf numFmtId="0" fontId="47" fillId="2" borderId="0" xfId="0" quotePrefix="1" applyFont="1" applyFill="1" applyAlignment="1">
      <alignment vertical="center"/>
    </xf>
    <xf numFmtId="0" fontId="4" fillId="2" borderId="10" xfId="0" applyFont="1" applyFill="1" applyBorder="1" applyAlignment="1" applyProtection="1">
      <alignment vertical="center"/>
      <protection locked="0"/>
    </xf>
    <xf numFmtId="0" fontId="50" fillId="15" borderId="13" xfId="0" applyFont="1" applyFill="1" applyBorder="1" applyAlignment="1">
      <alignment horizontal="center" vertical="center"/>
    </xf>
    <xf numFmtId="0" fontId="50" fillId="15" borderId="9" xfId="0" applyFont="1" applyFill="1" applyBorder="1" applyAlignment="1">
      <alignment horizontal="center" vertical="center"/>
    </xf>
    <xf numFmtId="0" fontId="54" fillId="15" borderId="9" xfId="0" applyFont="1" applyFill="1" applyBorder="1" applyAlignment="1">
      <alignment horizontal="center" vertical="center"/>
    </xf>
    <xf numFmtId="3" fontId="11" fillId="15" borderId="10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164" fontId="50" fillId="2" borderId="0" xfId="0" applyNumberFormat="1" applyFont="1" applyFill="1" applyAlignment="1" applyProtection="1">
      <alignment horizontal="right" vertical="center"/>
      <protection hidden="1"/>
    </xf>
    <xf numFmtId="164" fontId="54" fillId="2" borderId="0" xfId="0" applyNumberFormat="1" applyFont="1" applyFill="1" applyAlignment="1" applyProtection="1">
      <alignment horizontal="right" vertical="center"/>
      <protection hidden="1"/>
    </xf>
    <xf numFmtId="0" fontId="11" fillId="15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1" fontId="51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52" fillId="2" borderId="13" xfId="0" applyNumberFormat="1" applyFont="1" applyFill="1" applyBorder="1" applyAlignment="1">
      <alignment horizontal="right" vertical="center"/>
    </xf>
    <xf numFmtId="164" fontId="53" fillId="2" borderId="0" xfId="0" applyNumberFormat="1" applyFont="1" applyFill="1" applyAlignment="1" applyProtection="1">
      <alignment horizontal="right" vertical="center"/>
      <protection hidden="1"/>
    </xf>
    <xf numFmtId="164" fontId="24" fillId="2" borderId="13" xfId="0" applyNumberFormat="1" applyFont="1" applyFill="1" applyBorder="1" applyAlignment="1">
      <alignment horizontal="right" vertical="center"/>
    </xf>
    <xf numFmtId="0" fontId="49" fillId="2" borderId="0" xfId="0" applyFont="1" applyFill="1" applyAlignment="1">
      <alignment horizontal="left" vertical="center"/>
    </xf>
    <xf numFmtId="0" fontId="11" fillId="2" borderId="31" xfId="0" quotePrefix="1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164" fontId="11" fillId="2" borderId="33" xfId="0" applyNumberFormat="1" applyFont="1" applyFill="1" applyBorder="1" applyAlignment="1">
      <alignment horizontal="center" vertical="center"/>
    </xf>
    <xf numFmtId="0" fontId="11" fillId="2" borderId="34" xfId="0" quotePrefix="1" applyFont="1" applyFill="1" applyBorder="1" applyAlignment="1">
      <alignment horizontal="left" vertical="center"/>
    </xf>
    <xf numFmtId="164" fontId="11" fillId="2" borderId="35" xfId="0" applyNumberFormat="1" applyFont="1" applyFill="1" applyBorder="1" applyAlignment="1">
      <alignment horizontal="center" vertical="center"/>
    </xf>
    <xf numFmtId="164" fontId="11" fillId="2" borderId="36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164" fontId="11" fillId="6" borderId="39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8" fillId="2" borderId="9" xfId="0" quotePrefix="1" applyFont="1" applyFill="1" applyBorder="1" applyAlignment="1">
      <alignment vertical="center" wrapText="1"/>
    </xf>
    <xf numFmtId="0" fontId="54" fillId="15" borderId="13" xfId="0" applyFont="1" applyFill="1" applyBorder="1" applyAlignment="1">
      <alignment horizontal="center" vertical="center"/>
    </xf>
    <xf numFmtId="0" fontId="32" fillId="2" borderId="0" xfId="0" quotePrefix="1" applyFont="1" applyFill="1" applyAlignment="1">
      <alignment vertical="center"/>
    </xf>
    <xf numFmtId="10" fontId="57" fillId="2" borderId="0" xfId="0" applyNumberFormat="1" applyFont="1" applyFill="1" applyAlignment="1">
      <alignment horizontal="center" vertical="center"/>
    </xf>
    <xf numFmtId="10" fontId="57" fillId="2" borderId="0" xfId="2" applyNumberFormat="1" applyFont="1" applyFill="1" applyBorder="1" applyAlignment="1" applyProtection="1">
      <alignment horizontal="center" vertical="center"/>
    </xf>
    <xf numFmtId="165" fontId="57" fillId="2" borderId="0" xfId="2" applyNumberFormat="1" applyFont="1" applyFill="1" applyBorder="1" applyAlignment="1" applyProtection="1">
      <alignment horizontal="center" vertical="center"/>
    </xf>
    <xf numFmtId="0" fontId="25" fillId="20" borderId="0" xfId="0" applyFont="1" applyFill="1" applyAlignment="1">
      <alignment horizontal="center" vertical="center" wrapText="1"/>
    </xf>
    <xf numFmtId="0" fontId="60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2" fillId="0" borderId="0" xfId="0" applyFont="1" applyAlignment="1">
      <alignment vertical="center"/>
    </xf>
    <xf numFmtId="0" fontId="10" fillId="18" borderId="0" xfId="0" applyFont="1" applyFill="1" applyAlignment="1">
      <alignment horizontal="center" vertical="center"/>
    </xf>
    <xf numFmtId="0" fontId="56" fillId="8" borderId="14" xfId="0" applyFont="1" applyFill="1" applyBorder="1" applyAlignment="1">
      <alignment horizontal="center" vertical="center"/>
    </xf>
    <xf numFmtId="0" fontId="56" fillId="8" borderId="12" xfId="0" applyFont="1" applyFill="1" applyBorder="1" applyAlignment="1">
      <alignment horizontal="center" vertical="center"/>
    </xf>
    <xf numFmtId="0" fontId="8" fillId="23" borderId="0" xfId="0" applyFont="1" applyFill="1" applyAlignment="1">
      <alignment horizontal="center"/>
    </xf>
    <xf numFmtId="0" fontId="9" fillId="23" borderId="0" xfId="0" applyFont="1" applyFill="1" applyAlignment="1">
      <alignment horizontal="center"/>
    </xf>
    <xf numFmtId="3" fontId="5" fillId="0" borderId="43" xfId="0" applyNumberFormat="1" applyFont="1" applyBorder="1" applyAlignment="1">
      <alignment horizontal="center"/>
    </xf>
    <xf numFmtId="0" fontId="23" fillId="8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164" fontId="13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14" fillId="3" borderId="0" xfId="4" applyFont="1" applyFill="1" applyBorder="1" applyAlignment="1">
      <alignment horizontal="center"/>
    </xf>
    <xf numFmtId="0" fontId="14" fillId="3" borderId="0" xfId="5" applyFont="1" applyFill="1" applyBorder="1" applyAlignment="1">
      <alignment horizontal="center"/>
    </xf>
    <xf numFmtId="0" fontId="14" fillId="3" borderId="0" xfId="6" applyFont="1" applyFill="1" applyBorder="1" applyAlignment="1">
      <alignment horizontal="center"/>
    </xf>
    <xf numFmtId="3" fontId="14" fillId="3" borderId="0" xfId="6" applyNumberFormat="1" applyFont="1" applyFill="1" applyBorder="1" applyAlignment="1">
      <alignment horizontal="center"/>
    </xf>
    <xf numFmtId="4" fontId="20" fillId="2" borderId="16" xfId="0" applyNumberFormat="1" applyFont="1" applyFill="1" applyBorder="1" applyAlignment="1" applyProtection="1">
      <alignment vertical="center"/>
      <protection locked="0"/>
    </xf>
    <xf numFmtId="0" fontId="56" fillId="8" borderId="13" xfId="0" applyFont="1" applyFill="1" applyBorder="1" applyAlignment="1">
      <alignment horizontal="center" vertical="center"/>
    </xf>
    <xf numFmtId="0" fontId="56" fillId="8" borderId="9" xfId="0" applyFont="1" applyFill="1" applyBorder="1" applyAlignment="1">
      <alignment horizontal="center" vertical="center"/>
    </xf>
    <xf numFmtId="0" fontId="56" fillId="2" borderId="16" xfId="0" applyFont="1" applyFill="1" applyBorder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164" fontId="63" fillId="2" borderId="0" xfId="0" applyNumberFormat="1" applyFont="1" applyFill="1" applyAlignment="1" applyProtection="1">
      <alignment horizontal="right" vertical="center"/>
      <protection hidden="1"/>
    </xf>
    <xf numFmtId="4" fontId="57" fillId="3" borderId="0" xfId="0" applyNumberFormat="1" applyFont="1" applyFill="1" applyAlignment="1" applyProtection="1">
      <alignment vertical="center"/>
      <protection locked="0"/>
    </xf>
    <xf numFmtId="4" fontId="32" fillId="3" borderId="0" xfId="0" applyNumberFormat="1" applyFont="1" applyFill="1" applyAlignment="1" applyProtection="1">
      <alignment vertical="center"/>
      <protection hidden="1"/>
    </xf>
    <xf numFmtId="168" fontId="40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9" fontId="42" fillId="0" borderId="0" xfId="2" applyFont="1" applyAlignment="1">
      <alignment horizontal="center" vertical="center"/>
    </xf>
    <xf numFmtId="0" fontId="42" fillId="0" borderId="0" xfId="0" applyFont="1" applyAlignment="1">
      <alignment vertical="center"/>
    </xf>
    <xf numFmtId="9" fontId="42" fillId="0" borderId="0" xfId="0" applyNumberFormat="1" applyFont="1" applyAlignment="1">
      <alignment horizontal="center" vertical="center"/>
    </xf>
    <xf numFmtId="164" fontId="4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68" fontId="42" fillId="0" borderId="0" xfId="2" applyNumberFormat="1" applyFont="1" applyAlignment="1">
      <alignment horizontal="center" vertical="center"/>
    </xf>
    <xf numFmtId="168" fontId="42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164" fontId="40" fillId="0" borderId="0" xfId="0" applyNumberFormat="1" applyFont="1" applyProtection="1">
      <protection locked="0"/>
    </xf>
    <xf numFmtId="164" fontId="40" fillId="0" borderId="0" xfId="0" applyNumberFormat="1" applyFont="1" applyAlignment="1">
      <alignment vertical="center"/>
    </xf>
    <xf numFmtId="164" fontId="42" fillId="0" borderId="41" xfId="0" applyNumberFormat="1" applyFont="1" applyBorder="1" applyAlignment="1">
      <alignment vertical="center"/>
    </xf>
    <xf numFmtId="9" fontId="42" fillId="0" borderId="41" xfId="2" applyFont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/>
    </xf>
    <xf numFmtId="0" fontId="23" fillId="24" borderId="17" xfId="0" applyFont="1" applyFill="1" applyBorder="1" applyAlignment="1">
      <alignment horizontal="center" vertical="center"/>
    </xf>
    <xf numFmtId="0" fontId="51" fillId="15" borderId="13" xfId="0" applyFont="1" applyFill="1" applyBorder="1" applyAlignment="1">
      <alignment horizontal="center" vertical="center"/>
    </xf>
    <xf numFmtId="0" fontId="51" fillId="15" borderId="9" xfId="0" applyFont="1" applyFill="1" applyBorder="1" applyAlignment="1">
      <alignment horizontal="center" vertical="center"/>
    </xf>
    <xf numFmtId="164" fontId="25" fillId="0" borderId="0" xfId="0" applyNumberFormat="1" applyFont="1" applyAlignment="1" applyProtection="1">
      <alignment horizontal="right"/>
      <protection locked="0"/>
    </xf>
    <xf numFmtId="0" fontId="47" fillId="2" borderId="0" xfId="0" applyFont="1" applyFill="1" applyAlignment="1">
      <alignment horizontal="right"/>
    </xf>
    <xf numFmtId="0" fontId="41" fillId="2" borderId="0" xfId="0" applyFont="1" applyFill="1" applyAlignment="1">
      <alignment horizontal="left" vertical="center"/>
    </xf>
    <xf numFmtId="4" fontId="63" fillId="3" borderId="0" xfId="0" applyNumberFormat="1" applyFont="1" applyFill="1" applyAlignment="1" applyProtection="1">
      <alignment horizontal="center" vertical="center"/>
      <protection hidden="1"/>
    </xf>
    <xf numFmtId="164" fontId="63" fillId="4" borderId="0" xfId="0" applyNumberFormat="1" applyFont="1" applyFill="1" applyAlignment="1" applyProtection="1">
      <alignment horizontal="center" vertical="center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0" fontId="11" fillId="17" borderId="0" xfId="0" applyFont="1" applyFill="1" applyAlignment="1">
      <alignment vertical="center" wrapText="1"/>
    </xf>
    <xf numFmtId="0" fontId="39" fillId="2" borderId="0" xfId="0" applyFont="1" applyFill="1" applyAlignment="1">
      <alignment horizontal="center" vertical="center"/>
    </xf>
    <xf numFmtId="164" fontId="41" fillId="2" borderId="0" xfId="2" quotePrefix="1" applyNumberFormat="1" applyFont="1" applyFill="1" applyBorder="1" applyAlignment="1" applyProtection="1">
      <alignment horizontal="right" vertical="center"/>
    </xf>
    <xf numFmtId="164" fontId="43" fillId="2" borderId="0" xfId="2" quotePrefix="1" applyNumberFormat="1" applyFont="1" applyFill="1" applyBorder="1" applyAlignment="1" applyProtection="1">
      <alignment horizontal="right" vertical="center"/>
    </xf>
    <xf numFmtId="164" fontId="4" fillId="2" borderId="0" xfId="0" applyNumberFormat="1" applyFont="1" applyFill="1" applyAlignment="1">
      <alignment vertical="center"/>
    </xf>
    <xf numFmtId="164" fontId="10" fillId="2" borderId="0" xfId="0" applyNumberFormat="1" applyFont="1" applyFill="1" applyAlignment="1">
      <alignment horizontal="center"/>
    </xf>
    <xf numFmtId="164" fontId="28" fillId="2" borderId="0" xfId="0" applyNumberFormat="1" applyFont="1" applyFill="1"/>
    <xf numFmtId="164" fontId="65" fillId="17" borderId="0" xfId="0" applyNumberFormat="1" applyFont="1" applyFill="1" applyAlignment="1">
      <alignment horizontal="center" vertical="center"/>
    </xf>
    <xf numFmtId="0" fontId="65" fillId="17" borderId="0" xfId="0" applyFont="1" applyFill="1" applyAlignment="1">
      <alignment horizontal="center" vertical="center"/>
    </xf>
    <xf numFmtId="0" fontId="9" fillId="2" borderId="0" xfId="0" applyFont="1" applyFill="1"/>
    <xf numFmtId="164" fontId="9" fillId="2" borderId="0" xfId="0" applyNumberFormat="1" applyFont="1" applyFill="1"/>
    <xf numFmtId="0" fontId="64" fillId="2" borderId="9" xfId="0" quotePrefix="1" applyFont="1" applyFill="1" applyBorder="1" applyAlignment="1">
      <alignment vertical="center"/>
    </xf>
    <xf numFmtId="0" fontId="47" fillId="2" borderId="9" xfId="0" quotePrefix="1" applyFont="1" applyFill="1" applyBorder="1" applyAlignment="1">
      <alignment vertical="center"/>
    </xf>
    <xf numFmtId="0" fontId="4" fillId="2" borderId="9" xfId="0" applyFont="1" applyFill="1" applyBorder="1" applyProtection="1">
      <protection locked="0"/>
    </xf>
    <xf numFmtId="0" fontId="54" fillId="2" borderId="0" xfId="0" quotePrefix="1" applyFont="1" applyFill="1" applyAlignment="1">
      <alignment vertical="center"/>
    </xf>
    <xf numFmtId="4" fontId="57" fillId="2" borderId="0" xfId="0" applyNumberFormat="1" applyFont="1" applyFill="1" applyAlignment="1" applyProtection="1">
      <alignment vertical="center"/>
      <protection locked="0"/>
    </xf>
    <xf numFmtId="4" fontId="32" fillId="2" borderId="0" xfId="0" applyNumberFormat="1" applyFont="1" applyFill="1" applyAlignment="1" applyProtection="1">
      <alignment vertical="center"/>
      <protection hidden="1"/>
    </xf>
    <xf numFmtId="4" fontId="63" fillId="2" borderId="0" xfId="0" applyNumberFormat="1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>
      <alignment horizontal="center" vertical="center"/>
    </xf>
    <xf numFmtId="164" fontId="16" fillId="2" borderId="6" xfId="1" applyNumberFormat="1" applyFont="1" applyFill="1" applyBorder="1" applyAlignment="1" applyProtection="1">
      <protection hidden="1"/>
    </xf>
    <xf numFmtId="0" fontId="10" fillId="18" borderId="0" xfId="0" applyFont="1" applyFill="1" applyAlignment="1">
      <alignment vertical="center"/>
    </xf>
    <xf numFmtId="0" fontId="2" fillId="0" borderId="0" xfId="7"/>
    <xf numFmtId="0" fontId="2" fillId="0" borderId="0" xfId="7" applyAlignment="1">
      <alignment vertical="center"/>
    </xf>
    <xf numFmtId="0" fontId="2" fillId="0" borderId="0" xfId="7" applyProtection="1">
      <protection locked="0"/>
    </xf>
    <xf numFmtId="0" fontId="71" fillId="0" borderId="0" xfId="7" applyFont="1"/>
    <xf numFmtId="1" fontId="71" fillId="0" borderId="45" xfId="7" applyNumberFormat="1" applyFont="1" applyBorder="1" applyAlignment="1" applyProtection="1">
      <alignment horizontal="center" vertical="center" wrapText="1"/>
      <protection locked="0"/>
    </xf>
    <xf numFmtId="1" fontId="71" fillId="0" borderId="45" xfId="7" applyNumberFormat="1" applyFont="1" applyBorder="1" applyAlignment="1" applyProtection="1">
      <alignment horizontal="left" vertical="center" wrapText="1"/>
      <protection locked="0"/>
    </xf>
    <xf numFmtId="0" fontId="71" fillId="0" borderId="0" xfId="7" applyFont="1" applyProtection="1">
      <protection locked="0"/>
    </xf>
    <xf numFmtId="0" fontId="73" fillId="0" borderId="0" xfId="7" applyFont="1" applyProtection="1">
      <protection locked="0"/>
    </xf>
    <xf numFmtId="0" fontId="47" fillId="0" borderId="0" xfId="7" applyFont="1" applyAlignment="1" applyProtection="1">
      <alignment vertical="center"/>
      <protection locked="0"/>
    </xf>
    <xf numFmtId="0" fontId="76" fillId="0" borderId="0" xfId="0" applyFont="1" applyProtection="1">
      <protection locked="0"/>
    </xf>
    <xf numFmtId="0" fontId="2" fillId="0" borderId="0" xfId="7" applyAlignment="1">
      <alignment vertical="center" wrapText="1"/>
    </xf>
    <xf numFmtId="0" fontId="77" fillId="0" borderId="0" xfId="7" applyFont="1" applyAlignment="1" applyProtection="1">
      <alignment horizontal="center"/>
      <protection locked="0"/>
    </xf>
    <xf numFmtId="0" fontId="78" fillId="20" borderId="0" xfId="7" applyFont="1" applyFill="1" applyAlignment="1">
      <alignment horizontal="center"/>
    </xf>
    <xf numFmtId="0" fontId="69" fillId="3" borderId="0" xfId="7" applyFont="1" applyFill="1" applyAlignment="1">
      <alignment horizontal="center" vertical="center" wrapText="1"/>
    </xf>
    <xf numFmtId="0" fontId="69" fillId="3" borderId="0" xfId="7" applyFont="1" applyFill="1" applyAlignment="1">
      <alignment horizontal="right" vertical="center" wrapText="1"/>
    </xf>
    <xf numFmtId="10" fontId="69" fillId="3" borderId="50" xfId="8" applyNumberFormat="1" applyFont="1" applyFill="1" applyBorder="1" applyAlignment="1">
      <alignment horizontal="center" vertical="center"/>
    </xf>
    <xf numFmtId="0" fontId="73" fillId="3" borderId="0" xfId="7" quotePrefix="1" applyFont="1" applyFill="1" applyAlignment="1">
      <alignment horizontal="left" vertical="center" indent="2"/>
    </xf>
    <xf numFmtId="0" fontId="83" fillId="3" borderId="0" xfId="7" applyFont="1" applyFill="1" applyAlignment="1">
      <alignment vertical="center"/>
    </xf>
    <xf numFmtId="164" fontId="73" fillId="3" borderId="0" xfId="7" applyNumberFormat="1" applyFont="1" applyFill="1" applyAlignment="1">
      <alignment vertical="center"/>
    </xf>
    <xf numFmtId="0" fontId="84" fillId="3" borderId="0" xfId="7" quotePrefix="1" applyFont="1" applyFill="1" applyAlignment="1">
      <alignment horizontal="left" vertical="center" indent="2"/>
    </xf>
    <xf numFmtId="0" fontId="84" fillId="3" borderId="0" xfId="7" applyFont="1" applyFill="1" applyAlignment="1">
      <alignment vertical="center"/>
    </xf>
    <xf numFmtId="164" fontId="84" fillId="3" borderId="0" xfId="7" applyNumberFormat="1" applyFont="1" applyFill="1" applyAlignment="1">
      <alignment vertical="center"/>
    </xf>
    <xf numFmtId="164" fontId="79" fillId="3" borderId="50" xfId="8" applyNumberFormat="1" applyFont="1" applyFill="1" applyBorder="1" applyAlignment="1">
      <alignment horizontal="center"/>
    </xf>
    <xf numFmtId="0" fontId="69" fillId="3" borderId="50" xfId="8" applyNumberFormat="1" applyFont="1" applyFill="1" applyBorder="1" applyAlignment="1">
      <alignment horizontal="center" vertical="center"/>
    </xf>
    <xf numFmtId="0" fontId="88" fillId="0" borderId="0" xfId="7" applyFont="1" applyAlignment="1" applyProtection="1">
      <alignment horizontal="center"/>
      <protection locked="0"/>
    </xf>
    <xf numFmtId="0" fontId="73" fillId="0" borderId="0" xfId="7" applyFont="1"/>
    <xf numFmtId="0" fontId="76" fillId="0" borderId="0" xfId="7" applyFont="1" applyAlignment="1" applyProtection="1">
      <alignment horizontal="center"/>
      <protection locked="0"/>
    </xf>
    <xf numFmtId="0" fontId="76" fillId="0" borderId="0" xfId="7" applyFont="1" applyProtection="1">
      <protection locked="0"/>
    </xf>
    <xf numFmtId="0" fontId="69" fillId="23" borderId="0" xfId="7" applyFont="1" applyFill="1" applyAlignment="1">
      <alignment horizontal="center"/>
    </xf>
    <xf numFmtId="0" fontId="71" fillId="3" borderId="45" xfId="7" applyFont="1" applyFill="1" applyBorder="1" applyAlignment="1" applyProtection="1">
      <alignment horizontal="center"/>
      <protection locked="0"/>
    </xf>
    <xf numFmtId="0" fontId="71" fillId="3" borderId="45" xfId="7" applyFont="1" applyFill="1" applyBorder="1" applyAlignment="1" applyProtection="1">
      <alignment horizontal="center" vertical="center" wrapText="1"/>
      <protection locked="0"/>
    </xf>
    <xf numFmtId="1" fontId="2" fillId="0" borderId="55" xfId="7" applyNumberFormat="1" applyBorder="1" applyAlignment="1">
      <alignment horizontal="center" vertical="center" wrapText="1"/>
    </xf>
    <xf numFmtId="164" fontId="92" fillId="0" borderId="55" xfId="7" applyNumberFormat="1" applyFont="1" applyBorder="1" applyAlignment="1" applyProtection="1">
      <alignment horizontal="right"/>
      <protection hidden="1"/>
    </xf>
    <xf numFmtId="164" fontId="69" fillId="0" borderId="55" xfId="7" applyNumberFormat="1" applyFont="1" applyBorder="1" applyAlignment="1">
      <alignment horizontal="right"/>
    </xf>
    <xf numFmtId="164" fontId="93" fillId="0" borderId="55" xfId="7" applyNumberFormat="1" applyFont="1" applyBorder="1" applyAlignment="1">
      <alignment horizontal="right"/>
    </xf>
    <xf numFmtId="164" fontId="69" fillId="0" borderId="55" xfId="7" applyNumberFormat="1" applyFont="1" applyBorder="1" applyAlignment="1">
      <alignment horizontal="right" vertical="center" wrapText="1"/>
    </xf>
    <xf numFmtId="43" fontId="2" fillId="20" borderId="0" xfId="7" applyNumberFormat="1" applyFill="1" applyProtection="1">
      <protection locked="0"/>
    </xf>
    <xf numFmtId="170" fontId="73" fillId="0" borderId="0" xfId="9" applyNumberFormat="1" applyFont="1" applyAlignment="1" applyProtection="1">
      <alignment horizontal="center"/>
      <protection hidden="1"/>
    </xf>
    <xf numFmtId="170" fontId="73" fillId="0" borderId="0" xfId="7" applyNumberFormat="1" applyFont="1" applyAlignment="1" applyProtection="1">
      <alignment horizontal="center"/>
      <protection hidden="1"/>
    </xf>
    <xf numFmtId="164" fontId="71" fillId="0" borderId="45" xfId="7" applyNumberFormat="1" applyFont="1" applyBorder="1" applyAlignment="1" applyProtection="1">
      <alignment horizontal="right"/>
      <protection locked="0"/>
    </xf>
    <xf numFmtId="171" fontId="2" fillId="0" borderId="0" xfId="7" applyNumberFormat="1"/>
    <xf numFmtId="164" fontId="71" fillId="0" borderId="0" xfId="7" applyNumberFormat="1" applyFont="1" applyProtection="1">
      <protection locked="0"/>
    </xf>
    <xf numFmtId="164" fontId="69" fillId="0" borderId="55" xfId="7" applyNumberFormat="1" applyFont="1" applyBorder="1" applyAlignment="1">
      <alignment horizontal="right" wrapText="1"/>
    </xf>
    <xf numFmtId="170" fontId="2" fillId="0" borderId="0" xfId="7" applyNumberFormat="1" applyAlignment="1" applyProtection="1">
      <alignment horizontal="center"/>
      <protection hidden="1"/>
    </xf>
    <xf numFmtId="43" fontId="2" fillId="0" borderId="0" xfId="7" applyNumberFormat="1"/>
    <xf numFmtId="164" fontId="80" fillId="7" borderId="53" xfId="7" applyNumberFormat="1" applyFont="1" applyFill="1" applyBorder="1" applyAlignment="1">
      <alignment horizontal="right" vertical="center"/>
    </xf>
    <xf numFmtId="43" fontId="69" fillId="23" borderId="0" xfId="7" applyNumberFormat="1" applyFont="1" applyFill="1"/>
    <xf numFmtId="2" fontId="69" fillId="23" borderId="0" xfId="7" applyNumberFormat="1" applyFont="1" applyFill="1" applyAlignment="1">
      <alignment horizontal="center"/>
    </xf>
    <xf numFmtId="170" fontId="83" fillId="4" borderId="0" xfId="7" applyNumberFormat="1" applyFont="1" applyFill="1" applyAlignment="1" applyProtection="1">
      <alignment horizontal="center"/>
      <protection hidden="1"/>
    </xf>
    <xf numFmtId="171" fontId="71" fillId="0" borderId="0" xfId="7" applyNumberFormat="1" applyFont="1" applyProtection="1">
      <protection locked="0"/>
    </xf>
    <xf numFmtId="164" fontId="80" fillId="25" borderId="62" xfId="7" applyNumberFormat="1" applyFont="1" applyFill="1" applyBorder="1" applyAlignment="1">
      <alignment horizontal="right" vertical="center"/>
    </xf>
    <xf numFmtId="172" fontId="73" fillId="0" borderId="0" xfId="7" applyNumberFormat="1" applyFont="1" applyAlignment="1">
      <alignment horizontal="center"/>
    </xf>
    <xf numFmtId="173" fontId="71" fillId="0" borderId="0" xfId="7" applyNumberFormat="1" applyFont="1"/>
    <xf numFmtId="164" fontId="80" fillId="5" borderId="53" xfId="7" applyNumberFormat="1" applyFont="1" applyFill="1" applyBorder="1" applyAlignment="1">
      <alignment horizontal="right" vertical="center"/>
    </xf>
    <xf numFmtId="174" fontId="73" fillId="0" borderId="0" xfId="7" applyNumberFormat="1" applyFont="1" applyAlignment="1">
      <alignment horizontal="center"/>
    </xf>
    <xf numFmtId="164" fontId="94" fillId="0" borderId="0" xfId="7" applyNumberFormat="1" applyFont="1" applyProtection="1">
      <protection locked="0"/>
    </xf>
    <xf numFmtId="0" fontId="71" fillId="0" borderId="0" xfId="7" applyFont="1" applyAlignment="1" applyProtection="1">
      <alignment horizontal="center"/>
      <protection locked="0"/>
    </xf>
    <xf numFmtId="164" fontId="80" fillId="3" borderId="62" xfId="7" applyNumberFormat="1" applyFont="1" applyFill="1" applyBorder="1" applyAlignment="1">
      <alignment horizontal="right" vertical="center"/>
    </xf>
    <xf numFmtId="164" fontId="2" fillId="0" borderId="0" xfId="7" applyNumberFormat="1"/>
    <xf numFmtId="175" fontId="73" fillId="0" borderId="0" xfId="7" applyNumberFormat="1" applyFont="1" applyAlignment="1">
      <alignment horizontal="center"/>
    </xf>
    <xf numFmtId="164" fontId="80" fillId="5" borderId="55" xfId="7" applyNumberFormat="1" applyFont="1" applyFill="1" applyBorder="1" applyAlignment="1">
      <alignment horizontal="right" vertical="center"/>
    </xf>
    <xf numFmtId="0" fontId="70" fillId="0" borderId="0" xfId="7" applyFont="1"/>
    <xf numFmtId="171" fontId="70" fillId="0" borderId="0" xfId="7" applyNumberFormat="1" applyFont="1"/>
    <xf numFmtId="173" fontId="70" fillId="0" borderId="0" xfId="7" applyNumberFormat="1" applyFont="1"/>
    <xf numFmtId="4" fontId="20" fillId="3" borderId="0" xfId="0" applyNumberFormat="1" applyFont="1" applyFill="1"/>
    <xf numFmtId="0" fontId="74" fillId="20" borderId="0" xfId="10" applyFont="1" applyFill="1" applyAlignment="1">
      <alignment vertical="center"/>
    </xf>
    <xf numFmtId="0" fontId="71" fillId="20" borderId="0" xfId="10" applyFont="1" applyFill="1"/>
    <xf numFmtId="0" fontId="47" fillId="0" borderId="0" xfId="10" applyFont="1" applyAlignment="1">
      <alignment vertical="center"/>
    </xf>
    <xf numFmtId="0" fontId="71" fillId="0" borderId="0" xfId="10" applyFont="1"/>
    <xf numFmtId="0" fontId="75" fillId="0" borderId="0" xfId="10" quotePrefix="1" applyFont="1" applyAlignment="1">
      <alignment vertical="center"/>
    </xf>
    <xf numFmtId="0" fontId="1" fillId="0" borderId="0" xfId="10"/>
    <xf numFmtId="0" fontId="72" fillId="4" borderId="0" xfId="10" quotePrefix="1" applyFont="1" applyFill="1" applyAlignment="1">
      <alignment vertical="center"/>
    </xf>
    <xf numFmtId="0" fontId="71" fillId="4" borderId="0" xfId="10" applyFont="1" applyFill="1"/>
    <xf numFmtId="0" fontId="74" fillId="0" borderId="0" xfId="10" quotePrefix="1" applyFont="1" applyAlignment="1">
      <alignment vertical="center"/>
    </xf>
    <xf numFmtId="0" fontId="75" fillId="0" borderId="0" xfId="10" applyFont="1" applyAlignment="1">
      <alignment vertical="center"/>
    </xf>
    <xf numFmtId="0" fontId="75" fillId="0" borderId="0" xfId="10" applyFont="1" applyAlignment="1">
      <alignment vertical="center" wrapText="1"/>
    </xf>
    <xf numFmtId="0" fontId="82" fillId="5" borderId="0" xfId="10" applyFont="1" applyFill="1" applyAlignment="1">
      <alignment vertical="center"/>
    </xf>
    <xf numFmtId="0" fontId="1" fillId="5" borderId="0" xfId="10" applyFill="1"/>
    <xf numFmtId="0" fontId="91" fillId="3" borderId="53" xfId="10" applyFont="1" applyFill="1" applyBorder="1" applyAlignment="1">
      <alignment horizontal="center" vertical="center" wrapText="1"/>
    </xf>
    <xf numFmtId="0" fontId="91" fillId="3" borderId="54" xfId="10" applyFont="1" applyFill="1" applyBorder="1" applyAlignment="1">
      <alignment horizontal="center"/>
    </xf>
    <xf numFmtId="168" fontId="91" fillId="3" borderId="55" xfId="10" applyNumberFormat="1" applyFont="1" applyFill="1" applyBorder="1" applyAlignment="1">
      <alignment horizontal="center" vertical="center" wrapText="1"/>
    </xf>
    <xf numFmtId="168" fontId="91" fillId="3" borderId="52" xfId="8" applyNumberFormat="1" applyFont="1" applyFill="1" applyBorder="1" applyAlignment="1">
      <alignment horizontal="center" vertical="center"/>
    </xf>
    <xf numFmtId="0" fontId="69" fillId="3" borderId="0" xfId="10" applyFont="1" applyFill="1" applyAlignment="1">
      <alignment horizontal="right" vertical="center"/>
    </xf>
    <xf numFmtId="0" fontId="83" fillId="4" borderId="0" xfId="10" applyFont="1" applyFill="1" applyAlignment="1">
      <alignment horizontal="center"/>
    </xf>
    <xf numFmtId="0" fontId="82" fillId="26" borderId="0" xfId="10" applyFont="1" applyFill="1" applyAlignment="1">
      <alignment horizontal="center" vertical="center"/>
    </xf>
    <xf numFmtId="0" fontId="82" fillId="26" borderId="0" xfId="10" quotePrefix="1" applyFont="1" applyFill="1" applyAlignment="1">
      <alignment horizontal="center" vertical="center"/>
    </xf>
    <xf numFmtId="0" fontId="1" fillId="0" borderId="0" xfId="10" applyAlignment="1">
      <alignment vertical="center"/>
    </xf>
    <xf numFmtId="0" fontId="1" fillId="3" borderId="46" xfId="10" applyFill="1" applyBorder="1" applyAlignment="1">
      <alignment vertical="center"/>
    </xf>
    <xf numFmtId="0" fontId="69" fillId="3" borderId="47" xfId="10" applyFont="1" applyFill="1" applyBorder="1" applyAlignment="1">
      <alignment vertical="center" wrapText="1"/>
    </xf>
    <xf numFmtId="0" fontId="1" fillId="3" borderId="49" xfId="10" applyFill="1" applyBorder="1" applyAlignment="1">
      <alignment vertical="center"/>
    </xf>
    <xf numFmtId="0" fontId="69" fillId="3" borderId="0" xfId="10" applyFont="1" applyFill="1" applyAlignment="1">
      <alignment vertical="center"/>
    </xf>
    <xf numFmtId="0" fontId="69" fillId="3" borderId="0" xfId="10" applyFont="1" applyFill="1" applyAlignment="1">
      <alignment vertical="center" wrapText="1"/>
    </xf>
    <xf numFmtId="0" fontId="1" fillId="3" borderId="0" xfId="7" applyFont="1" applyFill="1"/>
    <xf numFmtId="164" fontId="1" fillId="3" borderId="0" xfId="7" applyNumberFormat="1" applyFont="1" applyFill="1" applyAlignment="1">
      <alignment vertical="center"/>
    </xf>
    <xf numFmtId="0" fontId="82" fillId="4" borderId="49" xfId="10" applyFont="1" applyFill="1" applyBorder="1" applyAlignment="1">
      <alignment horizontal="center" vertical="center"/>
    </xf>
    <xf numFmtId="0" fontId="74" fillId="4" borderId="0" xfId="10" applyFont="1" applyFill="1" applyAlignment="1">
      <alignment vertical="center" wrapText="1"/>
    </xf>
    <xf numFmtId="0" fontId="69" fillId="4" borderId="0" xfId="10" applyFont="1" applyFill="1" applyAlignment="1">
      <alignment horizontal="center" vertical="center" wrapText="1"/>
    </xf>
    <xf numFmtId="0" fontId="82" fillId="4" borderId="0" xfId="10" applyFont="1" applyFill="1" applyAlignment="1">
      <alignment vertical="center"/>
    </xf>
    <xf numFmtId="0" fontId="69" fillId="27" borderId="64" xfId="10" applyFont="1" applyFill="1" applyBorder="1" applyAlignment="1">
      <alignment vertical="center"/>
    </xf>
    <xf numFmtId="0" fontId="69" fillId="27" borderId="65" xfId="10" applyFont="1" applyFill="1" applyBorder="1" applyAlignment="1">
      <alignment horizontal="center" vertical="center" wrapText="1"/>
    </xf>
    <xf numFmtId="0" fontId="69" fillId="27" borderId="66" xfId="10" applyFont="1" applyFill="1" applyBorder="1" applyAlignment="1">
      <alignment horizontal="center" vertical="center"/>
    </xf>
    <xf numFmtId="0" fontId="1" fillId="27" borderId="65" xfId="10" applyFill="1" applyBorder="1" applyAlignment="1">
      <alignment horizontal="left" vertical="center"/>
    </xf>
    <xf numFmtId="0" fontId="69" fillId="27" borderId="57" xfId="10" applyFont="1" applyFill="1" applyBorder="1" applyAlignment="1">
      <alignment horizontal="center" vertical="center"/>
    </xf>
    <xf numFmtId="0" fontId="82" fillId="27" borderId="67" xfId="10" applyFont="1" applyFill="1" applyBorder="1" applyAlignment="1">
      <alignment vertical="center" wrapText="1"/>
    </xf>
    <xf numFmtId="0" fontId="69" fillId="27" borderId="68" xfId="10" applyFont="1" applyFill="1" applyBorder="1" applyAlignment="1">
      <alignment horizontal="center" vertical="center" wrapText="1"/>
    </xf>
    <xf numFmtId="0" fontId="1" fillId="27" borderId="67" xfId="10" applyFill="1" applyBorder="1" applyAlignment="1">
      <alignment horizontal="left" vertical="center"/>
    </xf>
    <xf numFmtId="0" fontId="75" fillId="3" borderId="56" xfId="10" applyFont="1" applyFill="1" applyBorder="1" applyAlignment="1">
      <alignment vertical="center"/>
    </xf>
    <xf numFmtId="0" fontId="75" fillId="3" borderId="69" xfId="10" applyFont="1" applyFill="1" applyBorder="1" applyAlignment="1">
      <alignment horizontal="right" vertical="center"/>
    </xf>
    <xf numFmtId="0" fontId="75" fillId="3" borderId="70" xfId="10" applyFont="1" applyFill="1" applyBorder="1" applyAlignment="1">
      <alignment horizontal="left" vertical="center" indent="1"/>
    </xf>
    <xf numFmtId="164" fontId="75" fillId="3" borderId="71" xfId="10" applyNumberFormat="1" applyFont="1" applyFill="1" applyBorder="1" applyAlignment="1">
      <alignment vertical="center"/>
    </xf>
    <xf numFmtId="0" fontId="75" fillId="20" borderId="72" xfId="10" applyFont="1" applyFill="1" applyBorder="1" applyAlignment="1" applyProtection="1">
      <alignment horizontal="center" vertical="center"/>
      <protection locked="0"/>
    </xf>
    <xf numFmtId="0" fontId="75" fillId="3" borderId="72" xfId="10" applyFont="1" applyFill="1" applyBorder="1" applyAlignment="1">
      <alignment horizontal="center" vertical="center"/>
    </xf>
    <xf numFmtId="164" fontId="75" fillId="3" borderId="73" xfId="3" applyNumberFormat="1" applyFont="1" applyFill="1" applyBorder="1" applyAlignment="1">
      <alignment horizontal="center" vertical="center"/>
    </xf>
    <xf numFmtId="164" fontId="75" fillId="3" borderId="74" xfId="10" applyNumberFormat="1" applyFont="1" applyFill="1" applyBorder="1" applyAlignment="1">
      <alignment horizontal="right"/>
    </xf>
    <xf numFmtId="164" fontId="75" fillId="3" borderId="75" xfId="3" applyNumberFormat="1" applyFont="1" applyFill="1" applyBorder="1" applyAlignment="1">
      <alignment horizontal="center" vertical="center"/>
    </xf>
    <xf numFmtId="164" fontId="80" fillId="26" borderId="58" xfId="10" applyNumberFormat="1" applyFont="1" applyFill="1" applyBorder="1" applyAlignment="1">
      <alignment horizontal="right" vertical="center"/>
    </xf>
    <xf numFmtId="0" fontId="69" fillId="3" borderId="0" xfId="10" applyFont="1" applyFill="1" applyAlignment="1">
      <alignment horizontal="right" vertical="center" wrapText="1"/>
    </xf>
    <xf numFmtId="0" fontId="71" fillId="0" borderId="0" xfId="10" applyFont="1" applyProtection="1">
      <protection locked="0"/>
    </xf>
    <xf numFmtId="0" fontId="79" fillId="3" borderId="0" xfId="10" applyFont="1" applyFill="1" applyAlignment="1">
      <alignment horizontal="right" vertical="center"/>
    </xf>
    <xf numFmtId="0" fontId="75" fillId="3" borderId="49" xfId="10" applyFont="1" applyFill="1" applyBorder="1" applyAlignment="1">
      <alignment vertical="center"/>
    </xf>
    <xf numFmtId="0" fontId="69" fillId="4" borderId="49" xfId="10" applyFont="1" applyFill="1" applyBorder="1" applyAlignment="1">
      <alignment horizontal="center" vertical="center" wrapText="1"/>
    </xf>
    <xf numFmtId="164" fontId="69" fillId="4" borderId="0" xfId="10" applyNumberFormat="1" applyFont="1" applyFill="1" applyAlignment="1">
      <alignment horizontal="center" vertical="center"/>
    </xf>
    <xf numFmtId="0" fontId="69" fillId="4" borderId="0" xfId="10" applyFont="1" applyFill="1" applyAlignment="1">
      <alignment horizontal="center" vertical="center"/>
    </xf>
    <xf numFmtId="0" fontId="1" fillId="3" borderId="49" xfId="10" applyFill="1" applyBorder="1" applyAlignment="1">
      <alignment horizontal="center" vertical="center" wrapText="1"/>
    </xf>
    <xf numFmtId="164" fontId="1" fillId="3" borderId="0" xfId="10" applyNumberFormat="1" applyFill="1" applyAlignment="1">
      <alignment horizontal="right"/>
    </xf>
    <xf numFmtId="164" fontId="69" fillId="3" borderId="0" xfId="10" applyNumberFormat="1" applyFont="1" applyFill="1" applyAlignment="1">
      <alignment horizontal="right"/>
    </xf>
    <xf numFmtId="164" fontId="69" fillId="3" borderId="0" xfId="10" applyNumberFormat="1" applyFont="1" applyFill="1" applyAlignment="1">
      <alignment horizontal="right" vertical="center" wrapText="1"/>
    </xf>
    <xf numFmtId="0" fontId="73" fillId="3" borderId="50" xfId="10" applyFont="1" applyFill="1" applyBorder="1" applyAlignment="1">
      <alignment horizontal="center" vertical="center"/>
    </xf>
    <xf numFmtId="0" fontId="82" fillId="4" borderId="49" xfId="10" applyFont="1" applyFill="1" applyBorder="1" applyAlignment="1">
      <alignment horizontal="center" vertical="center" wrapText="1"/>
    </xf>
    <xf numFmtId="164" fontId="86" fillId="4" borderId="0" xfId="10" applyNumberFormat="1" applyFont="1" applyFill="1" applyAlignment="1">
      <alignment horizontal="right"/>
    </xf>
    <xf numFmtId="164" fontId="82" fillId="4" borderId="0" xfId="10" applyNumberFormat="1" applyFont="1" applyFill="1" applyAlignment="1">
      <alignment horizontal="right"/>
    </xf>
    <xf numFmtId="0" fontId="69" fillId="3" borderId="49" xfId="10" applyFont="1" applyFill="1" applyBorder="1" applyAlignment="1">
      <alignment vertical="center" wrapText="1"/>
    </xf>
    <xf numFmtId="0" fontId="1" fillId="3" borderId="0" xfId="10" applyFill="1"/>
    <xf numFmtId="0" fontId="1" fillId="3" borderId="0" xfId="10" applyFill="1" applyAlignment="1">
      <alignment vertical="center"/>
    </xf>
    <xf numFmtId="0" fontId="73" fillId="3" borderId="49" xfId="10" applyFont="1" applyFill="1" applyBorder="1" applyAlignment="1">
      <alignment vertical="center"/>
    </xf>
    <xf numFmtId="0" fontId="1" fillId="3" borderId="0" xfId="10" applyFill="1" applyAlignment="1">
      <alignment horizontal="left" vertical="center"/>
    </xf>
    <xf numFmtId="0" fontId="69" fillId="3" borderId="0" xfId="10" applyFont="1" applyFill="1" applyAlignment="1">
      <alignment horizontal="center" vertical="center" wrapText="1"/>
    </xf>
    <xf numFmtId="164" fontId="1" fillId="3" borderId="0" xfId="10" applyNumberFormat="1" applyFill="1" applyAlignment="1">
      <alignment vertical="center"/>
    </xf>
    <xf numFmtId="0" fontId="1" fillId="0" borderId="0" xfId="10" applyProtection="1">
      <protection locked="0"/>
    </xf>
    <xf numFmtId="0" fontId="1" fillId="3" borderId="49" xfId="10" applyFill="1" applyBorder="1"/>
    <xf numFmtId="169" fontId="87" fillId="3" borderId="0" xfId="10" applyNumberFormat="1" applyFont="1" applyFill="1" applyAlignment="1">
      <alignment horizontal="left" vertical="center"/>
    </xf>
    <xf numFmtId="0" fontId="83" fillId="3" borderId="0" xfId="10" applyFont="1" applyFill="1" applyAlignment="1">
      <alignment horizontal="center" vertical="center"/>
    </xf>
    <xf numFmtId="0" fontId="47" fillId="3" borderId="0" xfId="10" applyFont="1" applyFill="1" applyAlignment="1">
      <alignment vertical="center"/>
    </xf>
    <xf numFmtId="0" fontId="47" fillId="3" borderId="50" xfId="10" applyFont="1" applyFill="1" applyBorder="1" applyAlignment="1">
      <alignment vertical="center"/>
    </xf>
    <xf numFmtId="0" fontId="73" fillId="0" borderId="0" xfId="10" applyFont="1" applyProtection="1">
      <protection locked="0"/>
    </xf>
    <xf numFmtId="0" fontId="88" fillId="0" borderId="0" xfId="10" applyFont="1" applyAlignment="1" applyProtection="1">
      <alignment horizontal="center"/>
      <protection locked="0"/>
    </xf>
    <xf numFmtId="169" fontId="47" fillId="3" borderId="0" xfId="10" applyNumberFormat="1" applyFont="1" applyFill="1" applyAlignment="1">
      <alignment horizontal="center" vertical="center"/>
    </xf>
    <xf numFmtId="0" fontId="47" fillId="3" borderId="0" xfId="10" applyFont="1" applyFill="1" applyAlignment="1">
      <alignment horizontal="center" vertical="center"/>
    </xf>
    <xf numFmtId="0" fontId="47" fillId="3" borderId="0" xfId="10" applyFont="1" applyFill="1" applyAlignment="1">
      <alignment horizontal="left" vertical="center"/>
    </xf>
    <xf numFmtId="0" fontId="47" fillId="3" borderId="50" xfId="10" applyFont="1" applyFill="1" applyBorder="1" applyAlignment="1">
      <alignment horizontal="left" vertical="center"/>
    </xf>
    <xf numFmtId="0" fontId="1" fillId="23" borderId="0" xfId="10" applyFill="1" applyAlignment="1">
      <alignment horizontal="center"/>
    </xf>
    <xf numFmtId="0" fontId="73" fillId="0" borderId="0" xfId="10" applyFont="1"/>
    <xf numFmtId="0" fontId="76" fillId="0" borderId="0" xfId="10" applyFont="1" applyAlignment="1" applyProtection="1">
      <alignment horizontal="center"/>
      <protection locked="0"/>
    </xf>
    <xf numFmtId="0" fontId="76" fillId="0" borderId="0" xfId="10" applyFont="1" applyProtection="1">
      <protection locked="0"/>
    </xf>
    <xf numFmtId="9" fontId="76" fillId="0" borderId="0" xfId="10" applyNumberFormat="1" applyFont="1" applyAlignment="1" applyProtection="1">
      <alignment horizontal="center"/>
      <protection locked="0"/>
    </xf>
    <xf numFmtId="0" fontId="69" fillId="3" borderId="0" xfId="10" applyFont="1" applyFill="1" applyAlignment="1">
      <alignment horizontal="center" vertical="center"/>
    </xf>
    <xf numFmtId="169" fontId="1" fillId="3" borderId="0" xfId="10" applyNumberFormat="1" applyFill="1" applyAlignment="1">
      <alignment horizontal="center" vertical="center"/>
    </xf>
    <xf numFmtId="0" fontId="1" fillId="3" borderId="50" xfId="10" applyFill="1" applyBorder="1" applyAlignment="1">
      <alignment vertical="center"/>
    </xf>
    <xf numFmtId="9" fontId="76" fillId="0" borderId="9" xfId="10" applyNumberFormat="1" applyFont="1" applyBorder="1" applyAlignment="1" applyProtection="1">
      <alignment horizontal="center"/>
      <protection locked="0"/>
    </xf>
    <xf numFmtId="0" fontId="1" fillId="3" borderId="59" xfId="10" applyFill="1" applyBorder="1"/>
    <xf numFmtId="0" fontId="69" fillId="3" borderId="60" xfId="10" applyFont="1" applyFill="1" applyBorder="1" applyAlignment="1">
      <alignment horizontal="right" vertical="center"/>
    </xf>
    <xf numFmtId="0" fontId="69" fillId="3" borderId="60" xfId="10" applyFont="1" applyFill="1" applyBorder="1" applyAlignment="1">
      <alignment horizontal="center" vertical="center"/>
    </xf>
    <xf numFmtId="169" fontId="1" fillId="3" borderId="60" xfId="10" applyNumberFormat="1" applyFill="1" applyBorder="1" applyAlignment="1">
      <alignment horizontal="center" vertical="center"/>
    </xf>
    <xf numFmtId="0" fontId="1" fillId="3" borderId="60" xfId="10" applyFill="1" applyBorder="1" applyAlignment="1">
      <alignment vertical="center"/>
    </xf>
    <xf numFmtId="0" fontId="1" fillId="3" borderId="61" xfId="10" applyFill="1" applyBorder="1" applyAlignment="1">
      <alignment vertical="center"/>
    </xf>
    <xf numFmtId="0" fontId="1" fillId="23" borderId="0" xfId="10" applyFill="1"/>
    <xf numFmtId="0" fontId="1" fillId="0" borderId="0" xfId="10" applyAlignment="1">
      <alignment horizontal="center" vertical="center"/>
    </xf>
    <xf numFmtId="43" fontId="1" fillId="20" borderId="0" xfId="10" applyNumberFormat="1" applyFill="1" applyProtection="1">
      <protection locked="0"/>
    </xf>
    <xf numFmtId="0" fontId="75" fillId="0" borderId="0" xfId="10" applyFont="1" applyAlignment="1">
      <alignment horizontal="left" vertical="center" indent="1"/>
    </xf>
    <xf numFmtId="0" fontId="75" fillId="3" borderId="56" xfId="10" applyFont="1" applyFill="1" applyBorder="1" applyAlignment="1">
      <alignment horizontal="left" vertical="center"/>
    </xf>
    <xf numFmtId="0" fontId="75" fillId="3" borderId="69" xfId="10" applyFont="1" applyFill="1" applyBorder="1" applyAlignment="1">
      <alignment horizontal="left" vertical="center"/>
    </xf>
    <xf numFmtId="0" fontId="75" fillId="3" borderId="57" xfId="10" applyFont="1" applyFill="1" applyBorder="1" applyAlignment="1">
      <alignment horizontal="left" vertical="center"/>
    </xf>
    <xf numFmtId="0" fontId="75" fillId="3" borderId="67" xfId="10" applyFont="1" applyFill="1" applyBorder="1" applyAlignment="1">
      <alignment horizontal="left" vertical="center"/>
    </xf>
    <xf numFmtId="164" fontId="82" fillId="26" borderId="0" xfId="10" applyNumberFormat="1" applyFont="1" applyFill="1" applyAlignment="1">
      <alignment horizontal="center" vertical="center"/>
    </xf>
    <xf numFmtId="171" fontId="82" fillId="7" borderId="2" xfId="10" applyNumberFormat="1" applyFont="1" applyFill="1" applyBorder="1" applyAlignment="1">
      <alignment horizontal="center" vertical="center"/>
    </xf>
    <xf numFmtId="171" fontId="82" fillId="7" borderId="3" xfId="10" applyNumberFormat="1" applyFont="1" applyFill="1" applyBorder="1" applyAlignment="1">
      <alignment horizontal="center" vertical="center"/>
    </xf>
    <xf numFmtId="171" fontId="82" fillId="25" borderId="0" xfId="10" applyNumberFormat="1" applyFont="1" applyFill="1" applyAlignment="1">
      <alignment horizontal="center" vertical="center"/>
    </xf>
    <xf numFmtId="171" fontId="82" fillId="25" borderId="5" xfId="10" applyNumberFormat="1" applyFont="1" applyFill="1" applyBorder="1" applyAlignment="1">
      <alignment horizontal="center" vertical="center"/>
    </xf>
    <xf numFmtId="171" fontId="82" fillId="5" borderId="1" xfId="10" applyNumberFormat="1" applyFont="1" applyFill="1" applyBorder="1" applyAlignment="1">
      <alignment horizontal="center" vertical="center"/>
    </xf>
    <xf numFmtId="171" fontId="82" fillId="5" borderId="2" xfId="10" applyNumberFormat="1" applyFont="1" applyFill="1" applyBorder="1" applyAlignment="1">
      <alignment horizontal="center" vertical="center"/>
    </xf>
    <xf numFmtId="171" fontId="82" fillId="5" borderId="3" xfId="10" applyNumberFormat="1" applyFont="1" applyFill="1" applyBorder="1" applyAlignment="1">
      <alignment horizontal="center" vertical="center"/>
    </xf>
    <xf numFmtId="0" fontId="69" fillId="4" borderId="6" xfId="10" applyFont="1" applyFill="1" applyBorder="1" applyAlignment="1">
      <alignment horizontal="center" vertical="center"/>
    </xf>
    <xf numFmtId="0" fontId="69" fillId="5" borderId="55" xfId="7" applyFont="1" applyFill="1" applyBorder="1" applyAlignment="1">
      <alignment horizontal="center" vertical="center" wrapText="1"/>
    </xf>
    <xf numFmtId="0" fontId="89" fillId="7" borderId="55" xfId="7" applyFont="1" applyFill="1" applyBorder="1" applyAlignment="1">
      <alignment horizontal="center" vertical="center"/>
    </xf>
    <xf numFmtId="0" fontId="89" fillId="7" borderId="55" xfId="7" applyFont="1" applyFill="1" applyBorder="1" applyAlignment="1">
      <alignment horizontal="center" vertical="center" wrapText="1"/>
    </xf>
    <xf numFmtId="0" fontId="79" fillId="3" borderId="47" xfId="7" applyFont="1" applyFill="1" applyBorder="1" applyAlignment="1">
      <alignment horizontal="center" vertical="center" wrapText="1"/>
    </xf>
    <xf numFmtId="171" fontId="82" fillId="3" borderId="7" xfId="10" applyNumberFormat="1" applyFont="1" applyFill="1" applyBorder="1" applyAlignment="1">
      <alignment horizontal="center" vertical="center"/>
    </xf>
    <xf numFmtId="171" fontId="82" fillId="3" borderId="6" xfId="10" applyNumberFormat="1" applyFont="1" applyFill="1" applyBorder="1" applyAlignment="1">
      <alignment horizontal="center" vertical="center"/>
    </xf>
    <xf numFmtId="171" fontId="82" fillId="3" borderId="8" xfId="10" applyNumberFormat="1" applyFont="1" applyFill="1" applyBorder="1" applyAlignment="1">
      <alignment horizontal="center" vertical="center"/>
    </xf>
    <xf numFmtId="0" fontId="91" fillId="5" borderId="55" xfId="7" applyFont="1" applyFill="1" applyBorder="1" applyAlignment="1">
      <alignment horizontal="center" vertical="center" wrapText="1"/>
    </xf>
    <xf numFmtId="171" fontId="82" fillId="5" borderId="51" xfId="10" applyNumberFormat="1" applyFont="1" applyFill="1" applyBorder="1" applyAlignment="1">
      <alignment horizontal="center" vertical="center"/>
    </xf>
    <xf numFmtId="171" fontId="82" fillId="5" borderId="63" xfId="10" applyNumberFormat="1" applyFont="1" applyFill="1" applyBorder="1" applyAlignment="1">
      <alignment horizontal="center" vertical="center"/>
    </xf>
    <xf numFmtId="171" fontId="82" fillId="5" borderId="58" xfId="10" applyNumberFormat="1" applyFont="1" applyFill="1" applyBorder="1" applyAlignment="1">
      <alignment horizontal="center" vertical="center"/>
    </xf>
    <xf numFmtId="171" fontId="82" fillId="26" borderId="51" xfId="10" applyNumberFormat="1" applyFont="1" applyFill="1" applyBorder="1" applyAlignment="1">
      <alignment horizontal="center" vertical="center"/>
    </xf>
    <xf numFmtId="171" fontId="82" fillId="26" borderId="63" xfId="10" applyNumberFormat="1" applyFont="1" applyFill="1" applyBorder="1" applyAlignment="1">
      <alignment horizontal="center" vertical="center"/>
    </xf>
    <xf numFmtId="0" fontId="69" fillId="7" borderId="55" xfId="7" applyFont="1" applyFill="1" applyBorder="1" applyAlignment="1">
      <alignment horizontal="center" vertical="center" wrapText="1"/>
    </xf>
    <xf numFmtId="0" fontId="90" fillId="25" borderId="55" xfId="7" applyFont="1" applyFill="1" applyBorder="1" applyAlignment="1">
      <alignment horizontal="center" vertical="center" wrapText="1"/>
    </xf>
    <xf numFmtId="0" fontId="75" fillId="20" borderId="0" xfId="10" applyFont="1" applyFill="1" applyAlignment="1">
      <alignment horizontal="left" vertical="center" wrapText="1"/>
    </xf>
    <xf numFmtId="10" fontId="91" fillId="4" borderId="51" xfId="8" applyNumberFormat="1" applyFont="1" applyFill="1" applyBorder="1" applyAlignment="1">
      <alignment horizontal="center" vertical="center" wrapText="1"/>
    </xf>
    <xf numFmtId="10" fontId="91" fillId="4" borderId="52" xfId="8" applyNumberFormat="1" applyFont="1" applyFill="1" applyBorder="1" applyAlignment="1">
      <alignment horizontal="center" vertical="center" wrapText="1"/>
    </xf>
    <xf numFmtId="164" fontId="80" fillId="20" borderId="47" xfId="7" applyNumberFormat="1" applyFont="1" applyFill="1" applyBorder="1" applyAlignment="1" applyProtection="1">
      <alignment horizontal="center" vertical="center" wrapText="1"/>
      <protection locked="0"/>
    </xf>
    <xf numFmtId="0" fontId="81" fillId="4" borderId="47" xfId="7" applyFont="1" applyFill="1" applyBorder="1" applyAlignment="1">
      <alignment horizontal="center" vertical="center"/>
    </xf>
    <xf numFmtId="0" fontId="81" fillId="4" borderId="48" xfId="7" applyFont="1" applyFill="1" applyBorder="1" applyAlignment="1">
      <alignment horizontal="center" vertical="center"/>
    </xf>
    <xf numFmtId="164" fontId="1" fillId="3" borderId="0" xfId="7" applyNumberFormat="1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/>
    </xf>
    <xf numFmtId="0" fontId="30" fillId="8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30" fillId="8" borderId="14" xfId="0" applyFont="1" applyFill="1" applyBorder="1" applyAlignment="1">
      <alignment horizontal="center" vertical="center" wrapText="1"/>
    </xf>
    <xf numFmtId="0" fontId="30" fillId="8" borderId="12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>
      <alignment horizontal="center" vertical="center" wrapText="1"/>
    </xf>
    <xf numFmtId="0" fontId="39" fillId="16" borderId="0" xfId="0" applyFont="1" applyFill="1" applyAlignment="1">
      <alignment horizontal="center" vertical="center"/>
    </xf>
    <xf numFmtId="0" fontId="49" fillId="2" borderId="0" xfId="0" quotePrefix="1" applyFont="1" applyFill="1" applyAlignment="1">
      <alignment horizontal="left" vertical="center" wrapText="1"/>
    </xf>
    <xf numFmtId="0" fontId="39" fillId="14" borderId="0" xfId="0" applyFont="1" applyFill="1" applyAlignment="1">
      <alignment horizontal="center" vertical="center"/>
    </xf>
    <xf numFmtId="4" fontId="58" fillId="2" borderId="0" xfId="1" applyNumberFormat="1" applyFont="1" applyFill="1" applyBorder="1" applyAlignment="1" applyProtection="1">
      <alignment horizontal="left" vertical="center" wrapText="1"/>
      <protection hidden="1"/>
    </xf>
    <xf numFmtId="4" fontId="58" fillId="2" borderId="40" xfId="1" applyNumberFormat="1" applyFont="1" applyFill="1" applyBorder="1" applyAlignment="1" applyProtection="1">
      <alignment horizontal="left" vertical="center" wrapText="1"/>
      <protection hidden="1"/>
    </xf>
    <xf numFmtId="0" fontId="23" fillId="22" borderId="0" xfId="0" applyFont="1" applyFill="1" applyAlignment="1">
      <alignment horizontal="center" vertical="center"/>
    </xf>
    <xf numFmtId="0" fontId="10" fillId="2" borderId="0" xfId="0" applyFont="1" applyFill="1" applyAlignment="1" applyProtection="1">
      <alignment horizontal="center"/>
      <protection hidden="1"/>
    </xf>
    <xf numFmtId="0" fontId="10" fillId="18" borderId="0" xfId="0" applyFont="1" applyFill="1" applyAlignment="1">
      <alignment horizontal="left" vertical="center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</cellXfs>
  <cellStyles count="11">
    <cellStyle name="20% - Énfasis6" xfId="4" builtinId="50"/>
    <cellStyle name="40% - Énfasis6" xfId="5" builtinId="51"/>
    <cellStyle name="60% - Énfasis6" xfId="6" builtinId="52"/>
    <cellStyle name="Millares" xfId="3" builtinId="3"/>
    <cellStyle name="Millares [0]" xfId="1" builtinId="6"/>
    <cellStyle name="Millares 2" xfId="9" xr:uid="{D8A57451-9CB2-466A-A0EB-2FB4103D97AD}"/>
    <cellStyle name="Normal" xfId="0" builtinId="0"/>
    <cellStyle name="Normal 2" xfId="7" xr:uid="{94CE1316-3759-4781-9008-23429C3884BC}"/>
    <cellStyle name="Normal 2 2" xfId="10" xr:uid="{F216A96E-0AA2-4B32-B6B8-9EF5BCE2B4CA}"/>
    <cellStyle name="Porcentaje" xfId="2" builtinId="5"/>
    <cellStyle name="Porcentaje 2" xfId="8" xr:uid="{87FEB128-B1C2-450E-ADE7-36B02E6898FE}"/>
  </cellStyles>
  <dxfs count="36">
    <dxf>
      <font>
        <b val="0"/>
        <i val="0"/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 tint="-4.9989318521683403E-2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theme="0"/>
      </font>
    </dxf>
    <dxf>
      <font>
        <b val="0"/>
        <i val="0"/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 tint="-4.9989318521683403E-2"/>
      </font>
    </dxf>
    <dxf>
      <font>
        <b val="0"/>
        <i val="0"/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b val="0"/>
        <i val="0"/>
        <color theme="0"/>
      </font>
    </dxf>
    <dxf>
      <font>
        <color theme="0"/>
      </font>
    </dxf>
    <dxf>
      <font>
        <b val="0"/>
        <i val="0"/>
        <color theme="0" tint="-0.24994659260841701"/>
      </font>
    </dxf>
    <dxf>
      <font>
        <b val="0"/>
        <i val="0"/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 tint="-4.9989318521683403E-2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 tint="-4.9989318521683403E-2"/>
      </font>
    </dxf>
    <dxf>
      <font>
        <b val="0"/>
        <i val="0"/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b val="0"/>
        <i val="0"/>
        <color theme="0"/>
      </font>
    </dxf>
    <dxf>
      <font>
        <color theme="0"/>
      </font>
    </dxf>
    <dxf>
      <font>
        <b val="0"/>
        <i val="0"/>
        <color theme="0"/>
      </font>
    </dxf>
    <dxf>
      <font>
        <b val="0"/>
        <i val="0"/>
        <color theme="0" tint="-0.24994659260841701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A000"/>
      <color rgb="FF492FE5"/>
      <color rgb="FF9384F0"/>
      <color rgb="FFCCECFF"/>
      <color rgb="FFCCFFCC"/>
      <color rgb="FF6610F2"/>
      <color rgb="FF925BFF"/>
      <color rgb="FF9966FF"/>
      <color rgb="FF6666FF"/>
      <color rgb="FF008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kumimoji="0" lang="en-US" sz="1600" b="1" i="0" u="none" strike="noStrike" kern="1200" cap="all" spc="120" normalizeH="0" baseline="0" noProof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</a:rPr>
              <a:t>COMPORTAMIENTO DE LAS mensualIDADES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Mensualidad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(Flex!$B$39:$B$98,Flex!$O$39:$O$98)</c:f>
              <c:numCache>
                <c:formatCode>General</c:formatCode>
                <c:ptCount val="120"/>
                <c:pt idx="0" formatCode="#,##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</c:numCache>
            </c:numRef>
          </c:cat>
          <c:val>
            <c:numRef>
              <c:f>(Flex!$D$39:$D$98,Flex!$Q$39:$Q$98)</c:f>
              <c:numCache>
                <c:formatCode>#,##0.00_ ;[Red]\-#,##0.00\ </c:formatCode>
                <c:ptCount val="120"/>
                <c:pt idx="0">
                  <c:v>42744.566666666658</c:v>
                </c:pt>
                <c:pt idx="1">
                  <c:v>42744.566666666658</c:v>
                </c:pt>
                <c:pt idx="2">
                  <c:v>42744.566666666658</c:v>
                </c:pt>
                <c:pt idx="3">
                  <c:v>42744.566666666658</c:v>
                </c:pt>
                <c:pt idx="4">
                  <c:v>42744.566666666658</c:v>
                </c:pt>
                <c:pt idx="5">
                  <c:v>42744.566666666658</c:v>
                </c:pt>
                <c:pt idx="6">
                  <c:v>42744.566666666658</c:v>
                </c:pt>
                <c:pt idx="7">
                  <c:v>42744.566666666658</c:v>
                </c:pt>
                <c:pt idx="8">
                  <c:v>42744.566666666658</c:v>
                </c:pt>
                <c:pt idx="9">
                  <c:v>42744.566666666658</c:v>
                </c:pt>
                <c:pt idx="10">
                  <c:v>42744.566666666658</c:v>
                </c:pt>
                <c:pt idx="11">
                  <c:v>42744.566666666658</c:v>
                </c:pt>
                <c:pt idx="12">
                  <c:v>44454.349333333332</c:v>
                </c:pt>
                <c:pt idx="13">
                  <c:v>44454.349333333332</c:v>
                </c:pt>
                <c:pt idx="14">
                  <c:v>44454.349333333332</c:v>
                </c:pt>
                <c:pt idx="15">
                  <c:v>44454.349333333332</c:v>
                </c:pt>
                <c:pt idx="16">
                  <c:v>44454.349333333332</c:v>
                </c:pt>
                <c:pt idx="17">
                  <c:v>44454.349333333332</c:v>
                </c:pt>
                <c:pt idx="18">
                  <c:v>44454.349333333332</c:v>
                </c:pt>
                <c:pt idx="19">
                  <c:v>44454.349333333332</c:v>
                </c:pt>
                <c:pt idx="20">
                  <c:v>44454.349333333332</c:v>
                </c:pt>
                <c:pt idx="21">
                  <c:v>44454.349333333332</c:v>
                </c:pt>
                <c:pt idx="22">
                  <c:v>44454.349333333332</c:v>
                </c:pt>
                <c:pt idx="23">
                  <c:v>44454.349333333332</c:v>
                </c:pt>
                <c:pt idx="24">
                  <c:v>46232.523306666662</c:v>
                </c:pt>
                <c:pt idx="25">
                  <c:v>46232.523306666662</c:v>
                </c:pt>
                <c:pt idx="26">
                  <c:v>46232.523306666662</c:v>
                </c:pt>
                <c:pt idx="27">
                  <c:v>46232.523306666662</c:v>
                </c:pt>
                <c:pt idx="28">
                  <c:v>46232.523306666662</c:v>
                </c:pt>
                <c:pt idx="29">
                  <c:v>46232.523306666662</c:v>
                </c:pt>
                <c:pt idx="30">
                  <c:v>46232.523306666662</c:v>
                </c:pt>
                <c:pt idx="31">
                  <c:v>46232.523306666662</c:v>
                </c:pt>
                <c:pt idx="32">
                  <c:v>46232.523306666662</c:v>
                </c:pt>
                <c:pt idx="33">
                  <c:v>46232.523306666662</c:v>
                </c:pt>
                <c:pt idx="34">
                  <c:v>46232.523306666662</c:v>
                </c:pt>
                <c:pt idx="35">
                  <c:v>46232.523306666662</c:v>
                </c:pt>
                <c:pt idx="36">
                  <c:v>48081.824238933325</c:v>
                </c:pt>
                <c:pt idx="37">
                  <c:v>48081.824238933325</c:v>
                </c:pt>
                <c:pt idx="38">
                  <c:v>48081.824238933325</c:v>
                </c:pt>
                <c:pt idx="39">
                  <c:v>48081.824238933325</c:v>
                </c:pt>
                <c:pt idx="40">
                  <c:v>48081.824238933325</c:v>
                </c:pt>
                <c:pt idx="41">
                  <c:v>48081.824238933325</c:v>
                </c:pt>
                <c:pt idx="42">
                  <c:v>48081.824238933325</c:v>
                </c:pt>
                <c:pt idx="43">
                  <c:v>48081.824238933325</c:v>
                </c:pt>
                <c:pt idx="44">
                  <c:v>48081.824238933325</c:v>
                </c:pt>
                <c:pt idx="45">
                  <c:v>48081.824238933325</c:v>
                </c:pt>
                <c:pt idx="46">
                  <c:v>48081.824238933325</c:v>
                </c:pt>
                <c:pt idx="47">
                  <c:v>48081.824238933325</c:v>
                </c:pt>
                <c:pt idx="48">
                  <c:v>50005.097208490661</c:v>
                </c:pt>
                <c:pt idx="49">
                  <c:v>50005.097208490661</c:v>
                </c:pt>
                <c:pt idx="50">
                  <c:v>50005.097208490661</c:v>
                </c:pt>
                <c:pt idx="51">
                  <c:v>50005.097208490661</c:v>
                </c:pt>
                <c:pt idx="52">
                  <c:v>50005.097208490661</c:v>
                </c:pt>
                <c:pt idx="53">
                  <c:v>50005.097208490661</c:v>
                </c:pt>
                <c:pt idx="54">
                  <c:v>50005.097208490661</c:v>
                </c:pt>
                <c:pt idx="55">
                  <c:v>50005.097208490661</c:v>
                </c:pt>
                <c:pt idx="56">
                  <c:v>50005.097208490661</c:v>
                </c:pt>
                <c:pt idx="57">
                  <c:v>50005.097208490661</c:v>
                </c:pt>
                <c:pt idx="58">
                  <c:v>50005.097208490661</c:v>
                </c:pt>
                <c:pt idx="59">
                  <c:v>50005.097208490661</c:v>
                </c:pt>
                <c:pt idx="60">
                  <c:v>52005.301096830284</c:v>
                </c:pt>
                <c:pt idx="61">
                  <c:v>52005.301096830284</c:v>
                </c:pt>
                <c:pt idx="62">
                  <c:v>52005.301096830284</c:v>
                </c:pt>
                <c:pt idx="63">
                  <c:v>52005.301096830284</c:v>
                </c:pt>
                <c:pt idx="64">
                  <c:v>52005.301096830284</c:v>
                </c:pt>
                <c:pt idx="65">
                  <c:v>52005.301096830284</c:v>
                </c:pt>
                <c:pt idx="66">
                  <c:v>52005.301096830284</c:v>
                </c:pt>
                <c:pt idx="67">
                  <c:v>52005.301096830284</c:v>
                </c:pt>
                <c:pt idx="68">
                  <c:v>52005.301096830284</c:v>
                </c:pt>
                <c:pt idx="69">
                  <c:v>52005.301096830284</c:v>
                </c:pt>
                <c:pt idx="70">
                  <c:v>52005.301096830284</c:v>
                </c:pt>
                <c:pt idx="71">
                  <c:v>52005.301096830284</c:v>
                </c:pt>
                <c:pt idx="72">
                  <c:v>54085.513140703493</c:v>
                </c:pt>
                <c:pt idx="73">
                  <c:v>54085.513140703493</c:v>
                </c:pt>
                <c:pt idx="74">
                  <c:v>54085.513140703493</c:v>
                </c:pt>
                <c:pt idx="75">
                  <c:v>54085.513140703493</c:v>
                </c:pt>
                <c:pt idx="76">
                  <c:v>54085.513140703493</c:v>
                </c:pt>
                <c:pt idx="77">
                  <c:v>54085.513140703493</c:v>
                </c:pt>
                <c:pt idx="78">
                  <c:v>54085.513140703493</c:v>
                </c:pt>
                <c:pt idx="79">
                  <c:v>54085.513140703493</c:v>
                </c:pt>
                <c:pt idx="80">
                  <c:v>54085.513140703493</c:v>
                </c:pt>
                <c:pt idx="81">
                  <c:v>54085.513140703493</c:v>
                </c:pt>
                <c:pt idx="82">
                  <c:v>54085.513140703493</c:v>
                </c:pt>
                <c:pt idx="83">
                  <c:v>54085.513140703493</c:v>
                </c:pt>
                <c:pt idx="84">
                  <c:v>56248.933666331635</c:v>
                </c:pt>
                <c:pt idx="85">
                  <c:v>56248.933666331635</c:v>
                </c:pt>
                <c:pt idx="86">
                  <c:v>56248.933666331635</c:v>
                </c:pt>
                <c:pt idx="87">
                  <c:v>56248.933666331635</c:v>
                </c:pt>
                <c:pt idx="88">
                  <c:v>56248.933666331635</c:v>
                </c:pt>
                <c:pt idx="89">
                  <c:v>56248.933666331635</c:v>
                </c:pt>
                <c:pt idx="90">
                  <c:v>56248.933666331635</c:v>
                </c:pt>
                <c:pt idx="91">
                  <c:v>56248.933666331635</c:v>
                </c:pt>
                <c:pt idx="92">
                  <c:v>56248.933666331635</c:v>
                </c:pt>
                <c:pt idx="93">
                  <c:v>56248.933666331635</c:v>
                </c:pt>
                <c:pt idx="94">
                  <c:v>56248.933666331635</c:v>
                </c:pt>
                <c:pt idx="95">
                  <c:v>56248.933666331635</c:v>
                </c:pt>
                <c:pt idx="96">
                  <c:v>58498.891012984895</c:v>
                </c:pt>
                <c:pt idx="97">
                  <c:v>58498.891012984895</c:v>
                </c:pt>
                <c:pt idx="98">
                  <c:v>58498.891012984895</c:v>
                </c:pt>
                <c:pt idx="99">
                  <c:v>58498.891012984895</c:v>
                </c:pt>
                <c:pt idx="100">
                  <c:v>58498.891012984895</c:v>
                </c:pt>
                <c:pt idx="101">
                  <c:v>58498.891012984895</c:v>
                </c:pt>
                <c:pt idx="102">
                  <c:v>58498.891012984895</c:v>
                </c:pt>
                <c:pt idx="103">
                  <c:v>58498.891012984895</c:v>
                </c:pt>
                <c:pt idx="104">
                  <c:v>58498.891012984895</c:v>
                </c:pt>
                <c:pt idx="105">
                  <c:v>58498.891012984895</c:v>
                </c:pt>
                <c:pt idx="106">
                  <c:v>58498.891012984895</c:v>
                </c:pt>
                <c:pt idx="107">
                  <c:v>58498.891012984895</c:v>
                </c:pt>
                <c:pt idx="108">
                  <c:v>60838.846653504297</c:v>
                </c:pt>
                <c:pt idx="109">
                  <c:v>60838.846653504297</c:v>
                </c:pt>
                <c:pt idx="110">
                  <c:v>60838.846653504297</c:v>
                </c:pt>
                <c:pt idx="111">
                  <c:v>60838.846653504297</c:v>
                </c:pt>
                <c:pt idx="112">
                  <c:v>60838.846653504297</c:v>
                </c:pt>
                <c:pt idx="113">
                  <c:v>60838.846653504297</c:v>
                </c:pt>
                <c:pt idx="114">
                  <c:v>60838.846653504297</c:v>
                </c:pt>
                <c:pt idx="115">
                  <c:v>60838.846653504297</c:v>
                </c:pt>
                <c:pt idx="116">
                  <c:v>60838.846653504297</c:v>
                </c:pt>
                <c:pt idx="117">
                  <c:v>60838.846653504297</c:v>
                </c:pt>
                <c:pt idx="118">
                  <c:v>60838.846653504297</c:v>
                </c:pt>
                <c:pt idx="119">
                  <c:v>60838.846653504297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A-44EB-BED2-72E69E87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666848"/>
        <c:axId val="908667328"/>
      </c:lineChart>
      <c:catAx>
        <c:axId val="90866684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8667328"/>
        <c:crosses val="autoZero"/>
        <c:auto val="1"/>
        <c:lblAlgn val="ctr"/>
        <c:lblOffset val="100"/>
        <c:noMultiLvlLbl val="0"/>
      </c:catAx>
      <c:valAx>
        <c:axId val="908667328"/>
        <c:scaling>
          <c:orientation val="minMax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;[Red]\-#,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8666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kumimoji="0" lang="en-US" sz="1600" b="1" i="0" u="none" strike="noStrike" kern="1200" cap="all" spc="120" normalizeH="0" baseline="0" noProof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</a:rPr>
              <a:t>COMPORTAMIENTO DE LAS mensualIDADES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Mensualidad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('Flex Extranjeros'!$B$39:$B$98,'Flex Extranjeros'!$O$39:$O$93)</c:f>
              <c:numCache>
                <c:formatCode>General</c:formatCode>
                <c:ptCount val="115"/>
                <c:pt idx="0" formatCode="#,##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cat>
          <c:val>
            <c:numRef>
              <c:f>('Flex Extranjeros'!$D$39:$D$98,'Flex Extranjeros'!$Q$39:$Q$98)</c:f>
              <c:numCache>
                <c:formatCode>#,##0.00_ ;[Red]\-#,##0.00\ </c:formatCode>
                <c:ptCount val="120"/>
                <c:pt idx="0">
                  <c:v>42744.566666666658</c:v>
                </c:pt>
                <c:pt idx="1">
                  <c:v>42744.566666666658</c:v>
                </c:pt>
                <c:pt idx="2">
                  <c:v>42744.566666666658</c:v>
                </c:pt>
                <c:pt idx="3">
                  <c:v>42744.566666666658</c:v>
                </c:pt>
                <c:pt idx="4">
                  <c:v>42744.566666666658</c:v>
                </c:pt>
                <c:pt idx="5">
                  <c:v>42744.566666666658</c:v>
                </c:pt>
                <c:pt idx="6">
                  <c:v>42744.566666666658</c:v>
                </c:pt>
                <c:pt idx="7">
                  <c:v>42744.566666666658</c:v>
                </c:pt>
                <c:pt idx="8">
                  <c:v>42744.566666666658</c:v>
                </c:pt>
                <c:pt idx="9">
                  <c:v>42744.566666666658</c:v>
                </c:pt>
                <c:pt idx="10">
                  <c:v>42744.566666666658</c:v>
                </c:pt>
                <c:pt idx="11">
                  <c:v>42744.566666666658</c:v>
                </c:pt>
                <c:pt idx="12">
                  <c:v>44454.349333333332</c:v>
                </c:pt>
                <c:pt idx="13">
                  <c:v>44454.349333333332</c:v>
                </c:pt>
                <c:pt idx="14">
                  <c:v>44454.349333333332</c:v>
                </c:pt>
                <c:pt idx="15">
                  <c:v>44454.349333333332</c:v>
                </c:pt>
                <c:pt idx="16">
                  <c:v>44454.349333333332</c:v>
                </c:pt>
                <c:pt idx="17">
                  <c:v>44454.349333333332</c:v>
                </c:pt>
                <c:pt idx="18">
                  <c:v>44454.349333333332</c:v>
                </c:pt>
                <c:pt idx="19">
                  <c:v>44454.349333333332</c:v>
                </c:pt>
                <c:pt idx="20">
                  <c:v>44454.349333333332</c:v>
                </c:pt>
                <c:pt idx="21">
                  <c:v>44454.349333333332</c:v>
                </c:pt>
                <c:pt idx="22">
                  <c:v>44454.349333333332</c:v>
                </c:pt>
                <c:pt idx="23">
                  <c:v>44454.349333333332</c:v>
                </c:pt>
                <c:pt idx="24">
                  <c:v>46232.523306666662</c:v>
                </c:pt>
                <c:pt idx="25">
                  <c:v>46232.523306666662</c:v>
                </c:pt>
                <c:pt idx="26">
                  <c:v>46232.523306666662</c:v>
                </c:pt>
                <c:pt idx="27">
                  <c:v>46232.523306666662</c:v>
                </c:pt>
                <c:pt idx="28">
                  <c:v>46232.523306666662</c:v>
                </c:pt>
                <c:pt idx="29">
                  <c:v>46232.523306666662</c:v>
                </c:pt>
                <c:pt idx="30">
                  <c:v>46232.523306666662</c:v>
                </c:pt>
                <c:pt idx="31">
                  <c:v>46232.523306666662</c:v>
                </c:pt>
                <c:pt idx="32">
                  <c:v>46232.523306666662</c:v>
                </c:pt>
                <c:pt idx="33">
                  <c:v>46232.523306666662</c:v>
                </c:pt>
                <c:pt idx="34">
                  <c:v>46232.523306666662</c:v>
                </c:pt>
                <c:pt idx="35">
                  <c:v>46232.523306666662</c:v>
                </c:pt>
                <c:pt idx="36">
                  <c:v>48081.824238933325</c:v>
                </c:pt>
                <c:pt idx="37">
                  <c:v>48081.824238933325</c:v>
                </c:pt>
                <c:pt idx="38">
                  <c:v>48081.824238933325</c:v>
                </c:pt>
                <c:pt idx="39">
                  <c:v>48081.824238933325</c:v>
                </c:pt>
                <c:pt idx="40">
                  <c:v>48081.824238933325</c:v>
                </c:pt>
                <c:pt idx="41">
                  <c:v>48081.824238933325</c:v>
                </c:pt>
                <c:pt idx="42">
                  <c:v>48081.824238933325</c:v>
                </c:pt>
                <c:pt idx="43">
                  <c:v>48081.824238933325</c:v>
                </c:pt>
                <c:pt idx="44">
                  <c:v>48081.824238933325</c:v>
                </c:pt>
                <c:pt idx="45">
                  <c:v>48081.824238933325</c:v>
                </c:pt>
                <c:pt idx="46">
                  <c:v>48081.824238933325</c:v>
                </c:pt>
                <c:pt idx="47">
                  <c:v>48081.824238933325</c:v>
                </c:pt>
                <c:pt idx="48">
                  <c:v>50005.097208490661</c:v>
                </c:pt>
                <c:pt idx="49">
                  <c:v>50005.097208490661</c:v>
                </c:pt>
                <c:pt idx="50">
                  <c:v>50005.097208490661</c:v>
                </c:pt>
                <c:pt idx="51">
                  <c:v>50005.097208490661</c:v>
                </c:pt>
                <c:pt idx="52">
                  <c:v>50005.097208490661</c:v>
                </c:pt>
                <c:pt idx="53">
                  <c:v>50005.097208490661</c:v>
                </c:pt>
                <c:pt idx="54">
                  <c:v>50005.097208490661</c:v>
                </c:pt>
                <c:pt idx="55">
                  <c:v>50005.097208490661</c:v>
                </c:pt>
                <c:pt idx="56">
                  <c:v>50005.097208490661</c:v>
                </c:pt>
                <c:pt idx="57">
                  <c:v>50005.097208490661</c:v>
                </c:pt>
                <c:pt idx="58">
                  <c:v>50005.097208490661</c:v>
                </c:pt>
                <c:pt idx="59">
                  <c:v>50005.097208490661</c:v>
                </c:pt>
                <c:pt idx="60">
                  <c:v>52005.301096830284</c:v>
                </c:pt>
                <c:pt idx="61">
                  <c:v>52005.301096830284</c:v>
                </c:pt>
                <c:pt idx="62">
                  <c:v>52005.301096830284</c:v>
                </c:pt>
                <c:pt idx="63">
                  <c:v>52005.301096830284</c:v>
                </c:pt>
                <c:pt idx="64">
                  <c:v>52005.301096830284</c:v>
                </c:pt>
                <c:pt idx="65">
                  <c:v>52005.301096830284</c:v>
                </c:pt>
                <c:pt idx="66">
                  <c:v>52005.301096830284</c:v>
                </c:pt>
                <c:pt idx="67">
                  <c:v>52005.301096830284</c:v>
                </c:pt>
                <c:pt idx="68">
                  <c:v>52005.301096830284</c:v>
                </c:pt>
                <c:pt idx="69">
                  <c:v>52005.301096830284</c:v>
                </c:pt>
                <c:pt idx="70">
                  <c:v>52005.301096830284</c:v>
                </c:pt>
                <c:pt idx="71">
                  <c:v>52005.301096830284</c:v>
                </c:pt>
                <c:pt idx="72">
                  <c:v>54085.513140703493</c:v>
                </c:pt>
                <c:pt idx="73">
                  <c:v>54085.513140703493</c:v>
                </c:pt>
                <c:pt idx="74">
                  <c:v>54085.513140703493</c:v>
                </c:pt>
                <c:pt idx="75">
                  <c:v>54085.513140703493</c:v>
                </c:pt>
                <c:pt idx="76">
                  <c:v>54085.513140703493</c:v>
                </c:pt>
                <c:pt idx="77">
                  <c:v>54085.513140703493</c:v>
                </c:pt>
                <c:pt idx="78">
                  <c:v>54085.513140703493</c:v>
                </c:pt>
                <c:pt idx="79">
                  <c:v>54085.513140703493</c:v>
                </c:pt>
                <c:pt idx="80">
                  <c:v>54085.513140703493</c:v>
                </c:pt>
                <c:pt idx="81">
                  <c:v>54085.513140703493</c:v>
                </c:pt>
                <c:pt idx="82">
                  <c:v>54085.513140703493</c:v>
                </c:pt>
                <c:pt idx="83">
                  <c:v>54085.513140703493</c:v>
                </c:pt>
                <c:pt idx="84">
                  <c:v>56248.933666331635</c:v>
                </c:pt>
                <c:pt idx="85">
                  <c:v>56248.933666331635</c:v>
                </c:pt>
                <c:pt idx="86">
                  <c:v>56248.933666331635</c:v>
                </c:pt>
                <c:pt idx="87">
                  <c:v>56248.933666331635</c:v>
                </c:pt>
                <c:pt idx="88">
                  <c:v>56248.933666331635</c:v>
                </c:pt>
                <c:pt idx="89">
                  <c:v>56248.933666331635</c:v>
                </c:pt>
                <c:pt idx="90">
                  <c:v>56248.933666331635</c:v>
                </c:pt>
                <c:pt idx="91">
                  <c:v>56248.933666331635</c:v>
                </c:pt>
                <c:pt idx="92">
                  <c:v>56248.933666331635</c:v>
                </c:pt>
                <c:pt idx="93">
                  <c:v>56248.933666331635</c:v>
                </c:pt>
                <c:pt idx="94">
                  <c:v>56248.933666331635</c:v>
                </c:pt>
                <c:pt idx="95">
                  <c:v>56248.933666331635</c:v>
                </c:pt>
                <c:pt idx="96">
                  <c:v>58498.891012984895</c:v>
                </c:pt>
                <c:pt idx="97">
                  <c:v>58498.891012984895</c:v>
                </c:pt>
                <c:pt idx="98">
                  <c:v>58498.891012984895</c:v>
                </c:pt>
                <c:pt idx="99">
                  <c:v>58498.891012984895</c:v>
                </c:pt>
                <c:pt idx="100">
                  <c:v>58498.891012984895</c:v>
                </c:pt>
                <c:pt idx="101">
                  <c:v>58498.891012984895</c:v>
                </c:pt>
                <c:pt idx="102">
                  <c:v>58498.891012984895</c:v>
                </c:pt>
                <c:pt idx="103">
                  <c:v>58498.891012984895</c:v>
                </c:pt>
                <c:pt idx="104">
                  <c:v>58498.891012984895</c:v>
                </c:pt>
                <c:pt idx="105">
                  <c:v>58498.891012984895</c:v>
                </c:pt>
                <c:pt idx="106">
                  <c:v>58498.891012984895</c:v>
                </c:pt>
                <c:pt idx="107">
                  <c:v>58498.891012984895</c:v>
                </c:pt>
                <c:pt idx="108">
                  <c:v>60838.846653504297</c:v>
                </c:pt>
                <c:pt idx="109">
                  <c:v>60838.846653504297</c:v>
                </c:pt>
                <c:pt idx="110">
                  <c:v>60838.846653504297</c:v>
                </c:pt>
                <c:pt idx="111">
                  <c:v>60838.846653504297</c:v>
                </c:pt>
                <c:pt idx="112">
                  <c:v>60838.846653504297</c:v>
                </c:pt>
                <c:pt idx="113">
                  <c:v>60838.846653504297</c:v>
                </c:pt>
                <c:pt idx="114">
                  <c:v>60838.846653504297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C-4DF5-B94D-204AF2CB7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666848"/>
        <c:axId val="908667328"/>
      </c:lineChart>
      <c:catAx>
        <c:axId val="90866684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8667328"/>
        <c:crosses val="autoZero"/>
        <c:auto val="1"/>
        <c:lblAlgn val="ctr"/>
        <c:lblOffset val="100"/>
        <c:noMultiLvlLbl val="0"/>
      </c:catAx>
      <c:valAx>
        <c:axId val="908667328"/>
        <c:scaling>
          <c:orientation val="minMax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;[Red]\-#,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8666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8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dataLabel>
  <cs:dataLabelCallout>
    <cs:lnRef idx="0"/>
    <cs:fillRef idx="0"/>
    <cs:effectRef idx="0"/>
    <cs:fontRef idx="minor">
      <a:schemeClr val="dk1">
        <a:lumMod val="50000"/>
        <a:lumOff val="50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ln w="9525" cap="flat" cmpd="sng" algn="ctr">
        <a:solidFill>
          <a:schemeClr val="phClr">
            <a:alpha val="50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cap="none" spc="2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8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dataLabel>
  <cs:dataLabelCallout>
    <cs:lnRef idx="0"/>
    <cs:fillRef idx="0"/>
    <cs:effectRef idx="0"/>
    <cs:fontRef idx="minor">
      <a:schemeClr val="dk1">
        <a:lumMod val="50000"/>
        <a:lumOff val="50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ln w="9525" cap="flat" cmpd="sng" algn="ctr">
        <a:solidFill>
          <a:schemeClr val="phClr">
            <a:alpha val="50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cap="none" spc="2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CheckBox" fmlaLink="$U$36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CheckBox" fmlaLink="$AH$26" lockText="1" noThreeD="1"/>
</file>

<file path=xl/ctrlProps/ctrlProp13.xml><?xml version="1.0" encoding="utf-8"?>
<formControlPr xmlns="http://schemas.microsoft.com/office/spreadsheetml/2009/9/main" objectType="CheckBox" fmlaLink="$AH$23" lockText="1" noThreeD="1"/>
</file>

<file path=xl/ctrlProps/ctrlProp14.xml><?xml version="1.0" encoding="utf-8"?>
<formControlPr xmlns="http://schemas.microsoft.com/office/spreadsheetml/2009/9/main" objectType="CheckBox" fmlaLink="$AH$25" lockText="1" noThreeD="1"/>
</file>

<file path=xl/ctrlProps/ctrlProp15.xml><?xml version="1.0" encoding="utf-8"?>
<formControlPr xmlns="http://schemas.microsoft.com/office/spreadsheetml/2009/9/main" objectType="CheckBox" fmlaLink="$AH$26" lockText="1" noThreeD="1"/>
</file>

<file path=xl/ctrlProps/ctrlProp16.xml><?xml version="1.0" encoding="utf-8"?>
<formControlPr xmlns="http://schemas.microsoft.com/office/spreadsheetml/2009/9/main" objectType="CheckBox" fmlaLink="$AH$23" lockText="1" noThreeD="1"/>
</file>

<file path=xl/ctrlProps/ctrlProp17.xml><?xml version="1.0" encoding="utf-8"?>
<formControlPr xmlns="http://schemas.microsoft.com/office/spreadsheetml/2009/9/main" objectType="CheckBox" fmlaLink="$AH$25" lockText="1" noThreeD="1"/>
</file>

<file path=xl/ctrlProps/ctrlProp2.xml><?xml version="1.0" encoding="utf-8"?>
<formControlPr xmlns="http://schemas.microsoft.com/office/spreadsheetml/2009/9/main" objectType="CheckBox" fmlaLink="$U$37" lockText="1" noThreeD="1"/>
</file>

<file path=xl/ctrlProps/ctrlProp3.xml><?xml version="1.0" encoding="utf-8"?>
<formControlPr xmlns="http://schemas.microsoft.com/office/spreadsheetml/2009/9/main" objectType="CheckBox" fmlaLink="$U$38" lockText="1" noThreeD="1"/>
</file>

<file path=xl/ctrlProps/ctrlProp4.xml><?xml version="1.0" encoding="utf-8"?>
<formControlPr xmlns="http://schemas.microsoft.com/office/spreadsheetml/2009/9/main" objectType="CheckBox" fmlaLink="$U$29" lockText="1" noThreeD="1"/>
</file>

<file path=xl/ctrlProps/ctrlProp5.xml><?xml version="1.0" encoding="utf-8"?>
<formControlPr xmlns="http://schemas.microsoft.com/office/spreadsheetml/2009/9/main" objectType="CheckBox" fmlaLink="$U$30" lockText="1" noThreeD="1"/>
</file>

<file path=xl/ctrlProps/ctrlProp6.xml><?xml version="1.0" encoding="utf-8"?>
<formControlPr xmlns="http://schemas.microsoft.com/office/spreadsheetml/2009/9/main" objectType="CheckBox" fmlaLink="$U$42" lockText="1" noThreeD="1"/>
</file>

<file path=xl/ctrlProps/ctrlProp7.xml><?xml version="1.0" encoding="utf-8"?>
<formControlPr xmlns="http://schemas.microsoft.com/office/spreadsheetml/2009/9/main" objectType="Radio" checked="Checked" firstButton="1" fmlaLink="$R$15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$R$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29</xdr:row>
          <xdr:rowOff>0</xdr:rowOff>
        </xdr:from>
        <xdr:to>
          <xdr:col>5</xdr:col>
          <xdr:colOff>769620</xdr:colOff>
          <xdr:row>30</xdr:row>
          <xdr:rowOff>38100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480060</xdr:colOff>
          <xdr:row>28</xdr:row>
          <xdr:rowOff>182880</xdr:rowOff>
        </xdr:from>
        <xdr:to>
          <xdr:col>6</xdr:col>
          <xdr:colOff>838200</xdr:colOff>
          <xdr:row>30</xdr:row>
          <xdr:rowOff>45720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29</xdr:row>
          <xdr:rowOff>0</xdr:rowOff>
        </xdr:from>
        <xdr:to>
          <xdr:col>7</xdr:col>
          <xdr:colOff>822960</xdr:colOff>
          <xdr:row>30</xdr:row>
          <xdr:rowOff>38100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11203</xdr:colOff>
      <xdr:row>27</xdr:row>
      <xdr:rowOff>247651</xdr:rowOff>
    </xdr:from>
    <xdr:to>
      <xdr:col>8</xdr:col>
      <xdr:colOff>152400</xdr:colOff>
      <xdr:row>30</xdr:row>
      <xdr:rowOff>100854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897528" y="5619751"/>
          <a:ext cx="3713072" cy="491378"/>
        </a:xfrm>
        <a:prstGeom prst="rect">
          <a:avLst/>
        </a:prstGeom>
        <a:noFill/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2</xdr:col>
      <xdr:colOff>10507</xdr:colOff>
      <xdr:row>27</xdr:row>
      <xdr:rowOff>247651</xdr:rowOff>
    </xdr:from>
    <xdr:to>
      <xdr:col>3</xdr:col>
      <xdr:colOff>1066800</xdr:colOff>
      <xdr:row>30</xdr:row>
      <xdr:rowOff>100854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72557" y="5657851"/>
          <a:ext cx="2304068" cy="491378"/>
        </a:xfrm>
        <a:prstGeom prst="rect">
          <a:avLst/>
        </a:prstGeom>
        <a:noFill/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403860</xdr:colOff>
          <xdr:row>29</xdr:row>
          <xdr:rowOff>0</xdr:rowOff>
        </xdr:from>
        <xdr:to>
          <xdr:col>2</xdr:col>
          <xdr:colOff>754380</xdr:colOff>
          <xdr:row>30</xdr:row>
          <xdr:rowOff>38100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0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411480</xdr:colOff>
          <xdr:row>28</xdr:row>
          <xdr:rowOff>182880</xdr:rowOff>
        </xdr:from>
        <xdr:to>
          <xdr:col>3</xdr:col>
          <xdr:colOff>769620</xdr:colOff>
          <xdr:row>30</xdr:row>
          <xdr:rowOff>45720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25</xdr:row>
      <xdr:rowOff>161925</xdr:rowOff>
    </xdr:from>
    <xdr:to>
      <xdr:col>9</xdr:col>
      <xdr:colOff>0</xdr:colOff>
      <xdr:row>25</xdr:row>
      <xdr:rowOff>161925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19075" y="5153025"/>
          <a:ext cx="9639300" cy="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373380</xdr:colOff>
          <xdr:row>29</xdr:row>
          <xdr:rowOff>182880</xdr:rowOff>
        </xdr:from>
        <xdr:to>
          <xdr:col>10</xdr:col>
          <xdr:colOff>762000</xdr:colOff>
          <xdr:row>31</xdr:row>
          <xdr:rowOff>7620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</xdr:colOff>
      <xdr:row>0</xdr:row>
      <xdr:rowOff>0</xdr:rowOff>
    </xdr:from>
    <xdr:to>
      <xdr:col>2</xdr:col>
      <xdr:colOff>1200150</xdr:colOff>
      <xdr:row>5</xdr:row>
      <xdr:rowOff>181780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74" t="16562" r="77347" b="11669"/>
        <a:stretch/>
      </xdr:blipFill>
      <xdr:spPr>
        <a:xfrm>
          <a:off x="466725" y="0"/>
          <a:ext cx="2133600" cy="11342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716280</xdr:colOff>
          <xdr:row>14</xdr:row>
          <xdr:rowOff>76200</xdr:rowOff>
        </xdr:from>
        <xdr:to>
          <xdr:col>2</xdr:col>
          <xdr:colOff>1074420</xdr:colOff>
          <xdr:row>15</xdr:row>
          <xdr:rowOff>106680</xdr:rowOff>
        </xdr:to>
        <xdr:sp macro="" textlink="">
          <xdr:nvSpPr>
            <xdr:cNvPr id="13319" name="Option Button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601980</xdr:colOff>
          <xdr:row>14</xdr:row>
          <xdr:rowOff>68580</xdr:rowOff>
        </xdr:from>
        <xdr:to>
          <xdr:col>4</xdr:col>
          <xdr:colOff>960120</xdr:colOff>
          <xdr:row>15</xdr:row>
          <xdr:rowOff>99060</xdr:rowOff>
        </xdr:to>
        <xdr:sp macro="" textlink="">
          <xdr:nvSpPr>
            <xdr:cNvPr id="13320" name="Option Button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7</xdr:row>
          <xdr:rowOff>45720</xdr:rowOff>
        </xdr:from>
        <xdr:to>
          <xdr:col>7</xdr:col>
          <xdr:colOff>922020</xdr:colOff>
          <xdr:row>8</xdr:row>
          <xdr:rowOff>76200</xdr:rowOff>
        </xdr:to>
        <xdr:sp macro="" textlink="">
          <xdr:nvSpPr>
            <xdr:cNvPr id="13321" name="Option Button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0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1059180</xdr:colOff>
          <xdr:row>7</xdr:row>
          <xdr:rowOff>38100</xdr:rowOff>
        </xdr:from>
        <xdr:to>
          <xdr:col>8</xdr:col>
          <xdr:colOff>533400</xdr:colOff>
          <xdr:row>8</xdr:row>
          <xdr:rowOff>68580</xdr:rowOff>
        </xdr:to>
        <xdr:sp macro="" textlink="">
          <xdr:nvSpPr>
            <xdr:cNvPr id="13322" name="Option Button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0</xdr:rowOff>
        </xdr:from>
        <xdr:to>
          <xdr:col>9</xdr:col>
          <xdr:colOff>0</xdr:colOff>
          <xdr:row>9</xdr:row>
          <xdr:rowOff>38100</xdr:rowOff>
        </xdr:to>
        <xdr:sp macro="" textlink="">
          <xdr:nvSpPr>
            <xdr:cNvPr id="13323" name="Group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0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427161</xdr:colOff>
      <xdr:row>7</xdr:row>
      <xdr:rowOff>38100</xdr:rowOff>
    </xdr:from>
    <xdr:to>
      <xdr:col>7</xdr:col>
      <xdr:colOff>859161</xdr:colOff>
      <xdr:row>8</xdr:row>
      <xdr:rowOff>47625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408986" y="1438275"/>
          <a:ext cx="4320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0" bIns="0" rtlCol="0" anchor="ctr"/>
        <a:lstStyle/>
        <a:p>
          <a:r>
            <a:rPr lang="es-MX" sz="1200" b="1"/>
            <a:t>Flex</a:t>
          </a:r>
          <a:endParaRPr lang="es-MX" sz="1050" b="1"/>
        </a:p>
      </xdr:txBody>
    </xdr:sp>
    <xdr:clientData/>
  </xdr:twoCellAnchor>
  <xdr:twoCellAnchor>
    <xdr:from>
      <xdr:col>8</xdr:col>
      <xdr:colOff>139211</xdr:colOff>
      <xdr:row>7</xdr:row>
      <xdr:rowOff>28575</xdr:rowOff>
    </xdr:from>
    <xdr:to>
      <xdr:col>8</xdr:col>
      <xdr:colOff>1291211</xdr:colOff>
      <xdr:row>8</xdr:row>
      <xdr:rowOff>38100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359286" y="1428750"/>
          <a:ext cx="11520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0" bIns="0" rtlCol="0" anchor="ctr"/>
        <a:lstStyle/>
        <a:p>
          <a:r>
            <a:rPr lang="es-MX" sz="1200" b="1"/>
            <a:t>Flex Extranjeros</a:t>
          </a:r>
          <a:endParaRPr lang="es-MX" sz="105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952500</xdr:colOff>
          <xdr:row>20</xdr:row>
          <xdr:rowOff>182880</xdr:rowOff>
        </xdr:from>
        <xdr:to>
          <xdr:col>16</xdr:col>
          <xdr:colOff>182880</xdr:colOff>
          <xdr:row>21</xdr:row>
          <xdr:rowOff>190500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952500</xdr:colOff>
          <xdr:row>17</xdr:row>
          <xdr:rowOff>198120</xdr:rowOff>
        </xdr:from>
        <xdr:to>
          <xdr:col>16</xdr:col>
          <xdr:colOff>182880</xdr:colOff>
          <xdr:row>19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952500</xdr:colOff>
          <xdr:row>19</xdr:row>
          <xdr:rowOff>190500</xdr:rowOff>
        </xdr:from>
        <xdr:to>
          <xdr:col>16</xdr:col>
          <xdr:colOff>182880</xdr:colOff>
          <xdr:row>21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15</xdr:col>
      <xdr:colOff>762001</xdr:colOff>
      <xdr:row>12</xdr:row>
      <xdr:rowOff>21167</xdr:rowOff>
    </xdr:from>
    <xdr:to>
      <xdr:col>20</xdr:col>
      <xdr:colOff>974912</xdr:colOff>
      <xdr:row>31</xdr:row>
      <xdr:rowOff>179294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6719177" y="2676961"/>
          <a:ext cx="5871882" cy="4057774"/>
        </a:xfrm>
        <a:prstGeom prst="roundRect">
          <a:avLst>
            <a:gd name="adj" fmla="val 1707"/>
          </a:avLst>
        </a:prstGeom>
        <a:noFill/>
        <a:ln w="19050">
          <a:solidFill>
            <a:schemeClr val="accent3">
              <a:lumMod val="20000"/>
              <a:lumOff val="8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solidFill>
                <a:srgbClr val="BDD7EE"/>
              </a:solidFill>
            </a:ln>
          </a:endParaRPr>
        </a:p>
      </xdr:txBody>
    </xdr:sp>
    <xdr:clientData/>
  </xdr:twoCellAnchor>
  <xdr:twoCellAnchor editAs="oneCell">
    <xdr:from>
      <xdr:col>15</xdr:col>
      <xdr:colOff>762001</xdr:colOff>
      <xdr:row>2</xdr:row>
      <xdr:rowOff>31750</xdr:rowOff>
    </xdr:from>
    <xdr:to>
      <xdr:col>20</xdr:col>
      <xdr:colOff>974912</xdr:colOff>
      <xdr:row>10</xdr:row>
      <xdr:rowOff>74084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719177" y="636868"/>
          <a:ext cx="5871882" cy="1689598"/>
        </a:xfrm>
        <a:prstGeom prst="roundRect">
          <a:avLst>
            <a:gd name="adj" fmla="val 4469"/>
          </a:avLst>
        </a:prstGeom>
        <a:noFill/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solidFill>
                <a:srgbClr val="BDD7EE"/>
              </a:solidFill>
            </a:ln>
          </a:endParaRPr>
        </a:p>
      </xdr:txBody>
    </xdr:sp>
    <xdr:clientData/>
  </xdr:twoCellAnchor>
  <xdr:twoCellAnchor editAs="oneCell">
    <xdr:from>
      <xdr:col>11</xdr:col>
      <xdr:colOff>907056</xdr:colOff>
      <xdr:row>14</xdr:row>
      <xdr:rowOff>21168</xdr:rowOff>
    </xdr:from>
    <xdr:to>
      <xdr:col>15</xdr:col>
      <xdr:colOff>95251</xdr:colOff>
      <xdr:row>20</xdr:row>
      <xdr:rowOff>169334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347639" y="3122085"/>
          <a:ext cx="3717862" cy="1354666"/>
        </a:xfrm>
        <a:prstGeom prst="roundRect">
          <a:avLst>
            <a:gd name="adj" fmla="val 4469"/>
          </a:avLst>
        </a:prstGeom>
        <a:noFill/>
        <a:ln w="19050">
          <a:solidFill>
            <a:schemeClr val="accent5">
              <a:lumMod val="20000"/>
              <a:lumOff val="8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solidFill>
                <a:srgbClr val="BDD7EE"/>
              </a:solidFill>
            </a:ln>
          </a:endParaRPr>
        </a:p>
      </xdr:txBody>
    </xdr:sp>
    <xdr:clientData/>
  </xdr:twoCellAnchor>
  <xdr:twoCellAnchor>
    <xdr:from>
      <xdr:col>21</xdr:col>
      <xdr:colOff>190501</xdr:colOff>
      <xdr:row>2</xdr:row>
      <xdr:rowOff>33616</xdr:rowOff>
    </xdr:from>
    <xdr:to>
      <xdr:col>26</xdr:col>
      <xdr:colOff>896471</xdr:colOff>
      <xdr:row>18</xdr:row>
      <xdr:rowOff>145677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952500</xdr:colOff>
          <xdr:row>20</xdr:row>
          <xdr:rowOff>182880</xdr:rowOff>
        </xdr:from>
        <xdr:to>
          <xdr:col>16</xdr:col>
          <xdr:colOff>182880</xdr:colOff>
          <xdr:row>21</xdr:row>
          <xdr:rowOff>190500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952500</xdr:colOff>
          <xdr:row>17</xdr:row>
          <xdr:rowOff>198120</xdr:rowOff>
        </xdr:from>
        <xdr:to>
          <xdr:col>16</xdr:col>
          <xdr:colOff>182880</xdr:colOff>
          <xdr:row>19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952500</xdr:colOff>
          <xdr:row>19</xdr:row>
          <xdr:rowOff>190500</xdr:rowOff>
        </xdr:from>
        <xdr:to>
          <xdr:col>16</xdr:col>
          <xdr:colOff>182880</xdr:colOff>
          <xdr:row>21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15</xdr:col>
      <xdr:colOff>762001</xdr:colOff>
      <xdr:row>12</xdr:row>
      <xdr:rowOff>21167</xdr:rowOff>
    </xdr:from>
    <xdr:to>
      <xdr:col>20</xdr:col>
      <xdr:colOff>974912</xdr:colOff>
      <xdr:row>31</xdr:row>
      <xdr:rowOff>179294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44951" y="2659592"/>
          <a:ext cx="5880286" cy="4034802"/>
        </a:xfrm>
        <a:prstGeom prst="roundRect">
          <a:avLst>
            <a:gd name="adj" fmla="val 1707"/>
          </a:avLst>
        </a:prstGeom>
        <a:noFill/>
        <a:ln w="19050">
          <a:solidFill>
            <a:schemeClr val="accent3">
              <a:lumMod val="20000"/>
              <a:lumOff val="8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solidFill>
                <a:srgbClr val="BDD7EE"/>
              </a:solidFill>
            </a:ln>
          </a:endParaRPr>
        </a:p>
      </xdr:txBody>
    </xdr:sp>
    <xdr:clientData/>
  </xdr:twoCellAnchor>
  <xdr:twoCellAnchor editAs="oneCell">
    <xdr:from>
      <xdr:col>15</xdr:col>
      <xdr:colOff>762001</xdr:colOff>
      <xdr:row>2</xdr:row>
      <xdr:rowOff>31750</xdr:rowOff>
    </xdr:from>
    <xdr:to>
      <xdr:col>20</xdr:col>
      <xdr:colOff>974912</xdr:colOff>
      <xdr:row>10</xdr:row>
      <xdr:rowOff>74084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6744951" y="631825"/>
          <a:ext cx="5880286" cy="1680634"/>
        </a:xfrm>
        <a:prstGeom prst="roundRect">
          <a:avLst>
            <a:gd name="adj" fmla="val 4469"/>
          </a:avLst>
        </a:prstGeom>
        <a:noFill/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solidFill>
                <a:srgbClr val="BDD7EE"/>
              </a:solidFill>
            </a:ln>
          </a:endParaRPr>
        </a:p>
      </xdr:txBody>
    </xdr:sp>
    <xdr:clientData/>
  </xdr:twoCellAnchor>
  <xdr:twoCellAnchor editAs="oneCell">
    <xdr:from>
      <xdr:col>11</xdr:col>
      <xdr:colOff>907056</xdr:colOff>
      <xdr:row>14</xdr:row>
      <xdr:rowOff>21168</xdr:rowOff>
    </xdr:from>
    <xdr:to>
      <xdr:col>15</xdr:col>
      <xdr:colOff>95251</xdr:colOff>
      <xdr:row>20</xdr:row>
      <xdr:rowOff>169334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356106" y="3097743"/>
          <a:ext cx="3722095" cy="1348316"/>
        </a:xfrm>
        <a:prstGeom prst="roundRect">
          <a:avLst>
            <a:gd name="adj" fmla="val 4469"/>
          </a:avLst>
        </a:prstGeom>
        <a:noFill/>
        <a:ln w="19050">
          <a:solidFill>
            <a:schemeClr val="accent5">
              <a:lumMod val="20000"/>
              <a:lumOff val="8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solidFill>
                <a:srgbClr val="BDD7EE"/>
              </a:solidFill>
            </a:ln>
          </a:endParaRPr>
        </a:p>
      </xdr:txBody>
    </xdr:sp>
    <xdr:clientData/>
  </xdr:twoCellAnchor>
  <xdr:twoCellAnchor>
    <xdr:from>
      <xdr:col>21</xdr:col>
      <xdr:colOff>190501</xdr:colOff>
      <xdr:row>2</xdr:row>
      <xdr:rowOff>33616</xdr:rowOff>
    </xdr:from>
    <xdr:to>
      <xdr:col>26</xdr:col>
      <xdr:colOff>896471</xdr:colOff>
      <xdr:row>18</xdr:row>
      <xdr:rowOff>145677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D123-C4D3-45F7-9F98-903848AA48F9}">
  <sheetPr>
    <tabColor rgb="FF492FE5"/>
    <pageSetUpPr fitToPage="1"/>
  </sheetPr>
  <dimension ref="B1:Y213"/>
  <sheetViews>
    <sheetView showGridLines="0" topLeftCell="A16" zoomScale="114" zoomScaleNormal="100" zoomScaleSheetLayoutView="100" workbookViewId="0">
      <selection activeCell="E11" sqref="E11"/>
    </sheetView>
  </sheetViews>
  <sheetFormatPr baseColWidth="10" defaultColWidth="11" defaultRowHeight="14.4" x14ac:dyDescent="0.3"/>
  <cols>
    <col min="1" max="1" width="3.33203125" style="371" customWidth="1"/>
    <col min="2" max="2" width="14.109375" style="372" customWidth="1"/>
    <col min="3" max="3" width="18.6640625" style="371" customWidth="1"/>
    <col min="4" max="4" width="18.88671875" style="371" customWidth="1"/>
    <col min="5" max="5" width="18.33203125" style="371" bestFit="1" customWidth="1"/>
    <col min="6" max="6" width="17" style="371" customWidth="1"/>
    <col min="7" max="7" width="18" style="371" customWidth="1"/>
    <col min="8" max="8" width="18.5546875" style="371" customWidth="1"/>
    <col min="9" max="9" width="21" style="371" customWidth="1"/>
    <col min="10" max="10" width="3.6640625" style="371" customWidth="1"/>
    <col min="11" max="11" width="14.44140625" style="371" bestFit="1" customWidth="1"/>
    <col min="12" max="13" width="13.6640625" style="371" customWidth="1"/>
    <col min="14" max="16" width="13.6640625" style="374" customWidth="1"/>
    <col min="17" max="17" width="3.6640625" style="374" customWidth="1"/>
    <col min="18" max="18" width="4.6640625" style="377" hidden="1" customWidth="1"/>
    <col min="19" max="19" width="22.5546875" style="377" hidden="1" customWidth="1"/>
    <col min="20" max="20" width="11" style="377" hidden="1" customWidth="1"/>
    <col min="21" max="21" width="10.44140625" style="377" hidden="1" customWidth="1"/>
    <col min="22" max="22" width="18.109375" style="377" hidden="1" customWidth="1"/>
    <col min="23" max="23" width="4.5546875" style="377" hidden="1" customWidth="1"/>
    <col min="24" max="25" width="11" style="374" customWidth="1"/>
    <col min="26" max="16384" width="11" style="371"/>
  </cols>
  <sheetData>
    <row r="1" spans="2:25" ht="15" customHeight="1" x14ac:dyDescent="0.3">
      <c r="K1" s="373"/>
      <c r="L1" s="373"/>
      <c r="M1" s="373"/>
      <c r="R1" s="375">
        <v>1</v>
      </c>
      <c r="S1" s="376" t="s">
        <v>141</v>
      </c>
      <c r="X1" s="377"/>
      <c r="Y1" s="377"/>
    </row>
    <row r="2" spans="2:25" x14ac:dyDescent="0.3">
      <c r="K2"/>
      <c r="L2"/>
      <c r="M2" s="378"/>
      <c r="R2" s="375">
        <v>2</v>
      </c>
      <c r="S2" s="376" t="s">
        <v>142</v>
      </c>
      <c r="X2" s="377"/>
      <c r="Y2" s="377"/>
    </row>
    <row r="3" spans="2:25" ht="15" customHeight="1" x14ac:dyDescent="0.3">
      <c r="K3"/>
      <c r="L3"/>
      <c r="M3" s="379"/>
      <c r="R3" s="380"/>
      <c r="S3" s="380"/>
      <c r="X3" s="377"/>
      <c r="Y3" s="377"/>
    </row>
    <row r="4" spans="2:25" x14ac:dyDescent="0.3">
      <c r="I4" s="381"/>
      <c r="K4" s="436" t="s">
        <v>205</v>
      </c>
      <c r="L4" s="437"/>
      <c r="M4" s="439"/>
      <c r="N4" s="439"/>
      <c r="R4" s="382">
        <v>1</v>
      </c>
      <c r="S4" s="382" t="s">
        <v>143</v>
      </c>
      <c r="X4" s="377"/>
      <c r="Y4" s="377"/>
    </row>
    <row r="5" spans="2:25" ht="15" customHeight="1" x14ac:dyDescent="0.3">
      <c r="I5" s="383" t="s">
        <v>144</v>
      </c>
      <c r="K5" s="440" t="s">
        <v>206</v>
      </c>
      <c r="L5" s="439"/>
      <c r="M5" s="439"/>
      <c r="N5" s="439"/>
      <c r="X5" s="377"/>
      <c r="Y5" s="377"/>
    </row>
    <row r="6" spans="2:25" ht="15.75" customHeight="1" thickBot="1" x14ac:dyDescent="0.35">
      <c r="I6" s="381"/>
      <c r="K6" s="568" t="s">
        <v>207</v>
      </c>
      <c r="L6" s="568"/>
      <c r="M6" s="568"/>
      <c r="N6" s="568"/>
      <c r="O6" s="568"/>
      <c r="X6" s="377"/>
      <c r="Y6" s="377"/>
    </row>
    <row r="7" spans="2:25" ht="18.75" customHeight="1" x14ac:dyDescent="0.3">
      <c r="B7" s="458"/>
      <c r="C7" s="459"/>
      <c r="D7" s="556" t="s">
        <v>145</v>
      </c>
      <c r="E7" s="556"/>
      <c r="F7" s="571">
        <v>4200000</v>
      </c>
      <c r="G7" s="571"/>
      <c r="H7" s="572" t="s">
        <v>146</v>
      </c>
      <c r="I7" s="573"/>
      <c r="K7" s="568"/>
      <c r="L7" s="568"/>
      <c r="M7" s="568"/>
      <c r="N7" s="568"/>
      <c r="O7" s="568"/>
      <c r="X7" s="377"/>
      <c r="Y7" s="377"/>
    </row>
    <row r="8" spans="2:25" x14ac:dyDescent="0.3">
      <c r="B8" s="460"/>
      <c r="C8" s="461"/>
      <c r="D8" s="384"/>
      <c r="E8" s="464"/>
      <c r="F8" s="574"/>
      <c r="G8" s="574"/>
      <c r="H8" s="385"/>
      <c r="I8" s="386"/>
      <c r="K8" s="441"/>
      <c r="L8" s="441"/>
      <c r="M8" s="439"/>
      <c r="N8" s="439"/>
      <c r="X8" s="377"/>
      <c r="Y8" s="377"/>
    </row>
    <row r="9" spans="2:25" ht="15.75" customHeight="1" x14ac:dyDescent="0.3">
      <c r="B9" s="460"/>
      <c r="C9" s="462"/>
      <c r="D9" s="387" t="s">
        <v>147</v>
      </c>
      <c r="E9" s="388"/>
      <c r="F9" s="389">
        <f>IF(R4=1,Flex!G7,IF(R4=2,'Flex Extranjeros'!G7,""))</f>
        <v>85260</v>
      </c>
      <c r="G9" s="385"/>
      <c r="H9" s="385"/>
      <c r="I9" s="386"/>
      <c r="M9" s="439"/>
      <c r="N9" s="439"/>
      <c r="X9" s="377"/>
      <c r="Y9" s="377"/>
    </row>
    <row r="10" spans="2:25" x14ac:dyDescent="0.3">
      <c r="B10" s="460"/>
      <c r="C10" s="462"/>
      <c r="D10" s="387" t="s">
        <v>149</v>
      </c>
      <c r="E10" s="388"/>
      <c r="F10" s="389">
        <f>IF(R4=1,Flex!G8,IF(R4=2,'Flex Extranjeros'!G8,""))</f>
        <v>85260</v>
      </c>
      <c r="G10" s="385"/>
      <c r="H10" s="385"/>
      <c r="I10" s="386"/>
      <c r="K10" s="441"/>
      <c r="L10" s="441"/>
      <c r="M10" s="445"/>
      <c r="N10" s="439"/>
      <c r="X10" s="377"/>
      <c r="Y10" s="377"/>
    </row>
    <row r="11" spans="2:25" ht="15.75" customHeight="1" x14ac:dyDescent="0.3">
      <c r="B11" s="460"/>
      <c r="C11" s="462"/>
      <c r="D11" s="390" t="s">
        <v>150</v>
      </c>
      <c r="E11" s="391"/>
      <c r="F11" s="392">
        <f>SUM(F9:F10)</f>
        <v>170520</v>
      </c>
      <c r="G11" s="385"/>
      <c r="H11" s="385"/>
      <c r="I11" s="386"/>
      <c r="M11" s="446"/>
      <c r="N11" s="439"/>
      <c r="X11" s="377"/>
      <c r="Y11" s="377"/>
    </row>
    <row r="12" spans="2:25" ht="15.6" x14ac:dyDescent="0.3">
      <c r="B12" s="460"/>
      <c r="C12" s="462"/>
      <c r="D12" s="463"/>
      <c r="E12" s="463"/>
      <c r="F12" s="463"/>
      <c r="G12" s="385"/>
      <c r="H12" s="385"/>
      <c r="I12" s="386"/>
      <c r="K12" s="442" t="s">
        <v>148</v>
      </c>
      <c r="L12" s="443"/>
      <c r="M12" s="445"/>
      <c r="N12" s="439"/>
      <c r="X12" s="377"/>
      <c r="Y12" s="377"/>
    </row>
    <row r="13" spans="2:25" ht="15.75" customHeight="1" x14ac:dyDescent="0.3">
      <c r="B13" s="460"/>
      <c r="C13" s="462"/>
      <c r="D13" s="463"/>
      <c r="E13" s="463"/>
      <c r="F13" s="463"/>
      <c r="G13" s="385"/>
      <c r="H13" s="569" t="s">
        <v>151</v>
      </c>
      <c r="I13" s="570"/>
      <c r="K13" s="444" t="s">
        <v>213</v>
      </c>
      <c r="L13" s="446"/>
      <c r="M13" s="445"/>
      <c r="N13" s="439"/>
      <c r="X13" s="377"/>
      <c r="Y13" s="377"/>
    </row>
    <row r="14" spans="2:25" ht="16.2" thickBot="1" x14ac:dyDescent="0.35">
      <c r="B14" s="465" t="s">
        <v>155</v>
      </c>
      <c r="C14" s="466" t="s">
        <v>156</v>
      </c>
      <c r="D14" s="467"/>
      <c r="E14" s="468"/>
      <c r="F14" s="463"/>
      <c r="G14" s="385"/>
      <c r="H14" s="449" t="s">
        <v>27</v>
      </c>
      <c r="I14" s="450" t="s">
        <v>153</v>
      </c>
      <c r="K14" s="539" t="s">
        <v>152</v>
      </c>
      <c r="L14" s="445"/>
      <c r="M14" s="441"/>
      <c r="N14" s="439"/>
      <c r="X14" s="377"/>
      <c r="Y14" s="377"/>
    </row>
    <row r="15" spans="2:25" ht="15" customHeight="1" x14ac:dyDescent="0.3">
      <c r="B15" s="469" t="s">
        <v>157</v>
      </c>
      <c r="C15" s="470"/>
      <c r="D15" s="471" t="s">
        <v>157</v>
      </c>
      <c r="E15" s="472"/>
      <c r="F15" s="463"/>
      <c r="G15" s="385"/>
      <c r="H15" s="451">
        <v>9.9000000000000005E-2</v>
      </c>
      <c r="I15" s="452">
        <v>0.04</v>
      </c>
      <c r="K15" s="539" t="s">
        <v>154</v>
      </c>
      <c r="L15" s="441"/>
      <c r="M15" s="438"/>
      <c r="N15" s="439"/>
      <c r="R15" s="382">
        <v>1</v>
      </c>
      <c r="S15" s="382" t="s">
        <v>158</v>
      </c>
      <c r="X15" s="377"/>
      <c r="Y15" s="377"/>
    </row>
    <row r="16" spans="2:25" ht="15.6" x14ac:dyDescent="0.3">
      <c r="B16" s="473" t="s">
        <v>159</v>
      </c>
      <c r="C16" s="474"/>
      <c r="D16" s="475" t="s">
        <v>160</v>
      </c>
      <c r="E16" s="476"/>
      <c r="F16" s="463"/>
      <c r="G16" s="385"/>
      <c r="H16" s="453"/>
      <c r="I16" s="386"/>
      <c r="K16" s="441"/>
      <c r="L16" s="445"/>
      <c r="M16" s="438"/>
      <c r="N16" s="439"/>
      <c r="X16" s="377"/>
      <c r="Y16" s="377"/>
    </row>
    <row r="17" spans="2:25" s="441" customFormat="1" ht="18.899999999999999" customHeight="1" x14ac:dyDescent="0.3">
      <c r="B17" s="540" t="str">
        <f>IF(R4=1,"1 cuota mensual y 59 anticipadas","1 cuota mensual y 64 anticipadas")</f>
        <v>1 cuota mensual y 59 anticipadas</v>
      </c>
      <c r="C17" s="541"/>
      <c r="D17" s="480" t="s">
        <v>41</v>
      </c>
      <c r="E17" s="481">
        <v>0</v>
      </c>
      <c r="F17" s="487"/>
      <c r="G17" s="487"/>
      <c r="H17" s="487"/>
      <c r="I17" s="386"/>
      <c r="K17" s="444" t="s">
        <v>214</v>
      </c>
      <c r="L17" s="445"/>
      <c r="M17" s="438"/>
      <c r="N17" s="439"/>
      <c r="O17" s="439"/>
      <c r="P17" s="439"/>
      <c r="Q17" s="439"/>
      <c r="R17" s="488"/>
      <c r="S17" s="488"/>
      <c r="T17" s="488"/>
      <c r="U17" s="488"/>
      <c r="V17" s="488"/>
      <c r="W17" s="488"/>
      <c r="X17" s="488"/>
      <c r="Y17" s="488"/>
    </row>
    <row r="18" spans="2:25" s="441" customFormat="1" ht="18.899999999999999" customHeight="1" x14ac:dyDescent="0.35">
      <c r="B18" s="542"/>
      <c r="C18" s="543"/>
      <c r="D18" s="480" t="s">
        <v>161</v>
      </c>
      <c r="E18" s="482">
        <f>IF(R4=1,60-E17,65-E17)</f>
        <v>60</v>
      </c>
      <c r="F18" s="487"/>
      <c r="G18" s="487"/>
      <c r="H18" s="489" t="s">
        <v>50</v>
      </c>
      <c r="I18" s="393">
        <f>IF(R4=1,Flex!O18,'Flex Extranjeros'!O18)</f>
        <v>4200000</v>
      </c>
      <c r="K18" s="539" t="s">
        <v>215</v>
      </c>
      <c r="L18" s="445"/>
      <c r="M18" s="438"/>
      <c r="N18" s="439"/>
      <c r="O18" s="439"/>
      <c r="P18" s="439"/>
      <c r="Q18" s="439"/>
      <c r="R18" s="488"/>
      <c r="S18" s="488"/>
      <c r="T18" s="488"/>
      <c r="U18" s="488"/>
      <c r="V18" s="488"/>
      <c r="W18" s="488"/>
      <c r="X18" s="488"/>
      <c r="Y18" s="488"/>
    </row>
    <row r="19" spans="2:25" s="441" customFormat="1" x14ac:dyDescent="0.3">
      <c r="B19" s="477"/>
      <c r="C19" s="478" t="s">
        <v>212</v>
      </c>
      <c r="D19" s="479"/>
      <c r="E19" s="478" t="s">
        <v>212</v>
      </c>
      <c r="F19" s="487"/>
      <c r="G19" s="487"/>
      <c r="H19" s="487"/>
      <c r="I19" s="386"/>
      <c r="K19" s="539" t="s">
        <v>216</v>
      </c>
      <c r="L19" s="445"/>
      <c r="M19" s="438"/>
      <c r="N19" s="439"/>
      <c r="O19" s="439"/>
      <c r="P19" s="439"/>
      <c r="Q19" s="439"/>
      <c r="R19" s="488"/>
      <c r="S19" s="488"/>
      <c r="T19" s="488"/>
      <c r="U19" s="488"/>
      <c r="V19" s="488"/>
      <c r="W19" s="488"/>
      <c r="X19" s="488"/>
      <c r="Y19" s="488"/>
    </row>
    <row r="20" spans="2:25" s="441" customFormat="1" ht="15" thickBot="1" x14ac:dyDescent="0.35">
      <c r="B20" s="483"/>
      <c r="C20" s="484">
        <f>(F7/180)*1.4+(F7*0.14%*1.16)+(F7*0.05%)</f>
        <v>41587.466666666667</v>
      </c>
      <c r="D20" s="485"/>
      <c r="E20" s="484">
        <f>(I18/180)*1.4+(I18*0.14%*1.16)+(I18*0.05%)</f>
        <v>41587.466666666667</v>
      </c>
      <c r="F20" s="487"/>
      <c r="G20" s="487"/>
      <c r="H20" s="487"/>
      <c r="I20" s="386"/>
      <c r="K20" s="539" t="s">
        <v>217</v>
      </c>
      <c r="L20" s="445"/>
      <c r="M20" s="438"/>
      <c r="N20" s="439"/>
      <c r="O20" s="439"/>
      <c r="P20" s="439"/>
      <c r="Q20" s="439"/>
      <c r="R20" s="488"/>
      <c r="S20" s="488"/>
      <c r="T20" s="488"/>
      <c r="U20" s="488"/>
      <c r="V20" s="488"/>
      <c r="W20" s="488"/>
      <c r="X20" s="488"/>
      <c r="Y20" s="488"/>
    </row>
    <row r="21" spans="2:25" s="441" customFormat="1" x14ac:dyDescent="0.3">
      <c r="B21" s="490"/>
      <c r="C21" s="487"/>
      <c r="D21" s="487"/>
      <c r="E21" s="487"/>
      <c r="F21" s="487"/>
      <c r="G21" s="487"/>
      <c r="H21" s="487"/>
      <c r="I21" s="386"/>
      <c r="K21" s="539" t="s">
        <v>218</v>
      </c>
      <c r="N21" s="439"/>
      <c r="O21" s="439"/>
      <c r="P21" s="439"/>
      <c r="Q21" s="439"/>
      <c r="R21" s="488"/>
      <c r="S21" s="488"/>
      <c r="T21" s="488"/>
      <c r="U21" s="488"/>
      <c r="V21" s="488"/>
      <c r="W21" s="488"/>
      <c r="X21" s="488"/>
      <c r="Y21" s="488"/>
    </row>
    <row r="22" spans="2:25" s="441" customFormat="1" x14ac:dyDescent="0.3">
      <c r="B22" s="491" t="s">
        <v>47</v>
      </c>
      <c r="C22" s="467" t="s">
        <v>18</v>
      </c>
      <c r="D22" s="467" t="s">
        <v>102</v>
      </c>
      <c r="E22" s="492" t="s">
        <v>19</v>
      </c>
      <c r="F22" s="493" t="s">
        <v>99</v>
      </c>
      <c r="G22" s="467" t="s">
        <v>4</v>
      </c>
      <c r="H22" s="487"/>
      <c r="I22" s="386"/>
      <c r="L22" s="445"/>
      <c r="M22" s="438"/>
      <c r="N22" s="439"/>
      <c r="O22" s="439"/>
      <c r="P22" s="439"/>
      <c r="Q22" s="439"/>
      <c r="R22" s="488"/>
      <c r="S22" s="488"/>
      <c r="T22" s="488"/>
      <c r="U22" s="488"/>
      <c r="V22" s="488"/>
      <c r="W22" s="488"/>
      <c r="X22" s="488"/>
      <c r="Y22" s="488"/>
    </row>
    <row r="23" spans="2:25" s="441" customFormat="1" x14ac:dyDescent="0.3">
      <c r="B23" s="494">
        <f>IF(R15=1,1,E17)</f>
        <v>1</v>
      </c>
      <c r="C23" s="495">
        <f>IF($R$4=1,Flex!F17,IF($R$4=2,'Flex Extranjeros'!F17,""))</f>
        <v>23333.333333333332</v>
      </c>
      <c r="D23" s="495">
        <f>IF($R$4=1,Flex!G17,IF($R$4=2,'Flex Extranjeros'!G17,""))</f>
        <v>5880</v>
      </c>
      <c r="E23" s="495">
        <f>IF($R$4=1,Flex!H17,IF($R$4=2,'Flex Extranjeros'!H17,""))</f>
        <v>940.80000000000007</v>
      </c>
      <c r="F23" s="495">
        <f>IF($R$4=1,Flex!I17,IF($R$4=2,'Flex Extranjeros'!I17,""))</f>
        <v>2100</v>
      </c>
      <c r="G23" s="496">
        <f>SUM(C23:F23)</f>
        <v>32254.133333333331</v>
      </c>
      <c r="H23" s="497"/>
      <c r="I23" s="498"/>
      <c r="K23" s="444" t="s">
        <v>162</v>
      </c>
      <c r="L23" s="445"/>
      <c r="M23" s="438"/>
      <c r="N23" s="439"/>
      <c r="O23" s="439"/>
      <c r="P23" s="439"/>
      <c r="Q23" s="439"/>
      <c r="R23" s="488"/>
      <c r="S23" s="488"/>
      <c r="T23" s="488"/>
      <c r="U23" s="488"/>
      <c r="V23" s="488"/>
      <c r="W23" s="488"/>
      <c r="X23" s="488"/>
      <c r="Y23" s="488"/>
    </row>
    <row r="24" spans="2:25" s="441" customFormat="1" x14ac:dyDescent="0.3">
      <c r="B24" s="494">
        <f>IF($R$4=1,Flex!E18,IF($R$4=2,'Flex Extranjeros'!E18,""))</f>
        <v>59</v>
      </c>
      <c r="C24" s="495">
        <f>IF($R$4=1,Flex!F18,IF($R$4=2,'Flex Extranjeros'!F18,""))</f>
        <v>1376666.6666666665</v>
      </c>
      <c r="D24" s="495">
        <f>IF($R$4=1,Flex!G18,IF($R$4=2,'Flex Extranjeros'!G18,""))</f>
        <v>0</v>
      </c>
      <c r="E24" s="495">
        <f>IF($R$4=1,Flex!H18,IF($R$4=2,'Flex Extranjeros'!H18,""))</f>
        <v>0</v>
      </c>
      <c r="F24" s="495">
        <f>IF($R$4=1,Flex!I18,IF($R$4=2,'Flex Extranjeros'!I18,""))</f>
        <v>0</v>
      </c>
      <c r="G24" s="496">
        <f>SUM(C24:F24)</f>
        <v>1376666.6666666665</v>
      </c>
      <c r="H24" s="487"/>
      <c r="I24" s="498"/>
      <c r="K24" s="539" t="s">
        <v>163</v>
      </c>
      <c r="L24" s="445"/>
      <c r="M24" s="438"/>
      <c r="N24" s="439"/>
      <c r="O24" s="439"/>
      <c r="P24" s="439"/>
      <c r="Q24" s="439"/>
      <c r="R24" s="488"/>
      <c r="S24" s="488"/>
      <c r="T24" s="488"/>
      <c r="U24" s="488"/>
      <c r="V24" s="488"/>
      <c r="W24" s="488"/>
      <c r="X24" s="488"/>
      <c r="Y24" s="488"/>
    </row>
    <row r="25" spans="2:25" s="441" customFormat="1" ht="15.6" x14ac:dyDescent="0.3">
      <c r="B25" s="499">
        <f t="shared" ref="B25:F25" si="0">SUM(B23:B24)</f>
        <v>60</v>
      </c>
      <c r="C25" s="500">
        <f t="shared" si="0"/>
        <v>1399999.9999999998</v>
      </c>
      <c r="D25" s="500">
        <f t="shared" si="0"/>
        <v>5880</v>
      </c>
      <c r="E25" s="500">
        <f t="shared" si="0"/>
        <v>940.80000000000007</v>
      </c>
      <c r="F25" s="500">
        <f t="shared" si="0"/>
        <v>2100</v>
      </c>
      <c r="G25" s="501">
        <f>SUM(G23:G24)</f>
        <v>1408920.7999999998</v>
      </c>
      <c r="H25" s="487"/>
      <c r="I25" s="394"/>
      <c r="K25" s="539" t="s">
        <v>164</v>
      </c>
      <c r="L25" s="445"/>
      <c r="M25" s="438"/>
      <c r="N25" s="439"/>
      <c r="O25" s="439"/>
      <c r="P25" s="439"/>
      <c r="Q25" s="439"/>
      <c r="R25" s="488"/>
      <c r="S25" s="488"/>
      <c r="T25" s="488"/>
      <c r="U25" s="488"/>
      <c r="V25" s="488"/>
      <c r="W25" s="488"/>
      <c r="X25" s="488"/>
      <c r="Y25" s="488"/>
    </row>
    <row r="26" spans="2:25" s="441" customFormat="1" x14ac:dyDescent="0.3">
      <c r="B26" s="502"/>
      <c r="C26" s="503"/>
      <c r="D26" s="503"/>
      <c r="E26" s="503"/>
      <c r="F26" s="504"/>
      <c r="G26" s="487"/>
      <c r="H26" s="453"/>
      <c r="I26" s="394"/>
      <c r="K26" s="539" t="s">
        <v>165</v>
      </c>
      <c r="N26" s="439"/>
      <c r="O26" s="439"/>
      <c r="P26" s="439"/>
      <c r="Q26" s="439"/>
      <c r="R26" s="488"/>
      <c r="S26" s="488"/>
      <c r="T26" s="488"/>
      <c r="U26" s="488"/>
      <c r="V26" s="488"/>
      <c r="W26" s="488"/>
      <c r="X26" s="488"/>
      <c r="Y26" s="488"/>
    </row>
    <row r="27" spans="2:25" s="441" customFormat="1" x14ac:dyDescent="0.3">
      <c r="B27" s="505"/>
      <c r="C27" s="506"/>
      <c r="D27" s="507"/>
      <c r="E27" s="508"/>
      <c r="F27" s="504"/>
      <c r="G27" s="487"/>
      <c r="H27" s="487"/>
      <c r="I27" s="386"/>
      <c r="K27" s="509"/>
      <c r="L27" s="509"/>
      <c r="M27" s="509"/>
      <c r="N27" s="439"/>
      <c r="O27" s="439"/>
      <c r="P27" s="439"/>
      <c r="Q27" s="439"/>
      <c r="R27" s="488"/>
      <c r="S27" s="488"/>
      <c r="T27" s="488"/>
      <c r="U27" s="488"/>
      <c r="V27" s="488"/>
      <c r="W27" s="488"/>
      <c r="X27" s="488"/>
      <c r="Y27" s="488"/>
    </row>
    <row r="28" spans="2:25" s="441" customFormat="1" ht="20.25" customHeight="1" x14ac:dyDescent="0.3">
      <c r="B28" s="510"/>
      <c r="C28" s="511" t="s">
        <v>166</v>
      </c>
      <c r="D28" s="512"/>
      <c r="E28" s="512"/>
      <c r="F28" s="511" t="s">
        <v>167</v>
      </c>
      <c r="G28" s="513"/>
      <c r="H28" s="513"/>
      <c r="I28" s="514"/>
      <c r="K28" s="509"/>
      <c r="L28" s="509"/>
      <c r="M28" s="515"/>
      <c r="N28" s="439"/>
      <c r="O28" s="439"/>
      <c r="P28" s="439"/>
      <c r="Q28" s="439"/>
      <c r="R28" s="488"/>
      <c r="S28" s="488"/>
      <c r="T28" s="488"/>
      <c r="U28" s="516" t="s">
        <v>168</v>
      </c>
      <c r="V28" s="516" t="s">
        <v>71</v>
      </c>
      <c r="W28" s="516" t="s">
        <v>169</v>
      </c>
      <c r="X28" s="488"/>
      <c r="Y28" s="488"/>
    </row>
    <row r="29" spans="2:25" s="441" customFormat="1" x14ac:dyDescent="0.3">
      <c r="B29" s="510"/>
      <c r="C29" s="517" t="s">
        <v>170</v>
      </c>
      <c r="D29" s="517" t="s">
        <v>171</v>
      </c>
      <c r="E29" s="517"/>
      <c r="F29" s="517" t="s">
        <v>172</v>
      </c>
      <c r="G29" s="518" t="s">
        <v>173</v>
      </c>
      <c r="H29" s="519" t="s">
        <v>174</v>
      </c>
      <c r="I29" s="520"/>
      <c r="K29" s="521" t="s">
        <v>175</v>
      </c>
      <c r="M29" s="522"/>
      <c r="N29" s="439"/>
      <c r="O29" s="439"/>
      <c r="P29" s="439"/>
      <c r="Q29" s="439"/>
      <c r="R29" s="488"/>
      <c r="S29" s="488"/>
      <c r="T29" s="488"/>
      <c r="U29" s="523" t="b">
        <v>0</v>
      </c>
      <c r="V29" s="524" t="s">
        <v>176</v>
      </c>
      <c r="W29" s="525">
        <f>IF(U29=TRUE,5%,0)</f>
        <v>0</v>
      </c>
      <c r="X29" s="488"/>
      <c r="Y29" s="488"/>
    </row>
    <row r="30" spans="2:25" s="441" customFormat="1" x14ac:dyDescent="0.3">
      <c r="B30" s="510"/>
      <c r="C30" s="453"/>
      <c r="D30" s="526"/>
      <c r="E30" s="526"/>
      <c r="F30" s="527"/>
      <c r="G30" s="504"/>
      <c r="H30" s="504"/>
      <c r="I30" s="528"/>
      <c r="K30" s="521" t="s">
        <v>177</v>
      </c>
      <c r="M30" s="522"/>
      <c r="N30" s="439"/>
      <c r="O30" s="439"/>
      <c r="P30" s="439"/>
      <c r="Q30" s="439"/>
      <c r="R30" s="488"/>
      <c r="S30" s="488"/>
      <c r="T30" s="488"/>
      <c r="U30" s="523" t="b">
        <v>0</v>
      </c>
      <c r="V30" s="524" t="s">
        <v>178</v>
      </c>
      <c r="W30" s="529">
        <f>IF(U30=TRUE,5%,0)</f>
        <v>0</v>
      </c>
      <c r="X30" s="488"/>
      <c r="Y30" s="488"/>
    </row>
    <row r="31" spans="2:25" s="441" customFormat="1" ht="15" thickBot="1" x14ac:dyDescent="0.35">
      <c r="B31" s="530"/>
      <c r="C31" s="531"/>
      <c r="D31" s="532"/>
      <c r="E31" s="532"/>
      <c r="F31" s="533"/>
      <c r="G31" s="534"/>
      <c r="H31" s="534"/>
      <c r="I31" s="535"/>
      <c r="K31" s="536"/>
      <c r="M31" s="522"/>
      <c r="N31" s="439"/>
      <c r="O31" s="439"/>
      <c r="P31" s="439"/>
      <c r="Q31" s="439"/>
      <c r="R31" s="488"/>
      <c r="S31" s="488"/>
      <c r="T31" s="488"/>
      <c r="U31" s="523"/>
      <c r="V31" s="524"/>
      <c r="W31" s="525">
        <f>SUM(W29:W30)</f>
        <v>0</v>
      </c>
      <c r="X31" s="488"/>
      <c r="Y31" s="488"/>
    </row>
    <row r="32" spans="2:25" s="441" customFormat="1" x14ac:dyDescent="0.3">
      <c r="B32" s="457"/>
      <c r="G32"/>
      <c r="H32"/>
      <c r="J32" s="537"/>
      <c r="M32" s="522"/>
      <c r="N32" s="439"/>
      <c r="O32" s="439"/>
      <c r="P32" s="439"/>
      <c r="Q32" s="439"/>
      <c r="R32" s="488"/>
      <c r="S32" s="488"/>
      <c r="T32" s="488"/>
      <c r="U32" s="524"/>
      <c r="V32" s="524"/>
      <c r="W32" s="524"/>
      <c r="X32" s="488"/>
      <c r="Y32" s="488"/>
    </row>
    <row r="33" spans="2:25" s="441" customFormat="1" ht="15.6" x14ac:dyDescent="0.3">
      <c r="B33" s="447" t="s">
        <v>48</v>
      </c>
      <c r="C33" s="448"/>
      <c r="D33"/>
      <c r="G33" s="552" t="s">
        <v>179</v>
      </c>
      <c r="H33" s="552"/>
      <c r="J33" s="537"/>
      <c r="M33" s="522"/>
      <c r="N33" s="439"/>
      <c r="O33" s="439"/>
      <c r="P33" s="439"/>
      <c r="Q33" s="439"/>
      <c r="R33" s="488"/>
      <c r="S33" s="488"/>
      <c r="T33" s="488"/>
      <c r="U33" s="524"/>
      <c r="V33" s="524"/>
      <c r="W33" s="524"/>
      <c r="X33" s="488"/>
      <c r="Y33" s="488"/>
    </row>
    <row r="34" spans="2:25" x14ac:dyDescent="0.3">
      <c r="B34" s="553" t="s">
        <v>180</v>
      </c>
      <c r="C34" s="554" t="s">
        <v>181</v>
      </c>
      <c r="D34" s="554" t="s">
        <v>182</v>
      </c>
      <c r="E34" s="555" t="s">
        <v>183</v>
      </c>
      <c r="F34" s="555" t="s">
        <v>184</v>
      </c>
      <c r="G34" s="566" t="s">
        <v>185</v>
      </c>
      <c r="H34" s="567" t="s">
        <v>186</v>
      </c>
      <c r="I34" s="560" t="s">
        <v>187</v>
      </c>
      <c r="K34" s="399" t="s">
        <v>188</v>
      </c>
      <c r="L34" s="399" t="s">
        <v>189</v>
      </c>
      <c r="M34" s="454" t="s">
        <v>208</v>
      </c>
      <c r="S34" s="400" t="s">
        <v>26</v>
      </c>
      <c r="U34" s="398"/>
      <c r="V34" s="398"/>
      <c r="W34" s="398"/>
      <c r="X34" s="377"/>
      <c r="Y34" s="377"/>
    </row>
    <row r="35" spans="2:25" ht="15" customHeight="1" x14ac:dyDescent="0.3">
      <c r="B35" s="553"/>
      <c r="C35" s="554"/>
      <c r="D35" s="554"/>
      <c r="E35" s="555"/>
      <c r="F35" s="555"/>
      <c r="G35" s="566"/>
      <c r="H35" s="567"/>
      <c r="I35" s="560"/>
      <c r="K35" s="399" t="s">
        <v>190</v>
      </c>
      <c r="L35" s="399" t="s">
        <v>191</v>
      </c>
      <c r="M35" s="454" t="s">
        <v>209</v>
      </c>
      <c r="R35" s="401" t="s">
        <v>192</v>
      </c>
      <c r="S35" s="400" t="s">
        <v>193</v>
      </c>
      <c r="U35" s="395" t="s">
        <v>168</v>
      </c>
      <c r="V35" s="395" t="s">
        <v>194</v>
      </c>
      <c r="W35" s="395"/>
      <c r="X35" s="377"/>
      <c r="Y35" s="377"/>
    </row>
    <row r="36" spans="2:25" ht="16.5" customHeight="1" x14ac:dyDescent="0.3">
      <c r="B36" s="402">
        <v>1</v>
      </c>
      <c r="C36" s="403">
        <f>IF(R4=1,Flex!$AJ$39/180*1.4,'Flex Extranjeros'!$AJ$39/180*1.4)</f>
        <v>32666.666666666664</v>
      </c>
      <c r="D36" s="403">
        <f>IF(U29=TRUE,(Flex!$AJ$39*0.14%*(100%-W31)),IF(U30=TRUE,(Flex!$AJ$39*0.14%*(100%-W31)),Flex!$AJ$39*0.14%))</f>
        <v>5880.0000000000009</v>
      </c>
      <c r="E36" s="403">
        <f>(D36*16%)</f>
        <v>940.80000000000018</v>
      </c>
      <c r="F36" s="403">
        <f>(Flex!$AJ$39*Flex!$I$15)+(Flex!$AJ$39*Flex!$J$15)</f>
        <v>3257.1000000000004</v>
      </c>
      <c r="G36" s="404">
        <f>SUM(C36:F36)</f>
        <v>42744.566666666666</v>
      </c>
      <c r="H36" s="405">
        <f>Flex!BE39</f>
        <v>30154.133333333331</v>
      </c>
      <c r="I36" s="406">
        <f>IF(R4=1,SUM(Flex!D39:D50),SUM('Flex Extranjeros'!D39:D50))</f>
        <v>512934.79999999987</v>
      </c>
      <c r="K36" s="538"/>
      <c r="L36" s="408">
        <f>IF(R4=1,SUM(Flex!N39:N50),SUM('Flex Extranjeros'!N39:N50))</f>
        <v>0</v>
      </c>
      <c r="M36" s="409">
        <f t="shared" ref="M36:M44" si="1">(I36/G36)+L36</f>
        <v>11.999999999999996</v>
      </c>
      <c r="R36" s="375">
        <v>1</v>
      </c>
      <c r="S36" s="410">
        <f>IF(R4=1,SUM(Flex!AM39:AM50),SUM('Flex Extranjeros'!AM39:AM50))</f>
        <v>512934.79999999987</v>
      </c>
      <c r="U36" s="397" t="b">
        <v>0</v>
      </c>
      <c r="V36" s="398" t="s">
        <v>195</v>
      </c>
      <c r="W36" s="398"/>
      <c r="X36" s="377"/>
      <c r="Y36" s="377"/>
    </row>
    <row r="37" spans="2:25" ht="16.5" customHeight="1" x14ac:dyDescent="0.3">
      <c r="B37" s="402">
        <v>2</v>
      </c>
      <c r="C37" s="403">
        <f t="shared" ref="C37:C45" si="2">(C36*$I$15+C36)</f>
        <v>33973.333333333328</v>
      </c>
      <c r="D37" s="403">
        <f t="shared" ref="D37:D45" si="3">(D36*$I$15+D36)</f>
        <v>6115.2000000000007</v>
      </c>
      <c r="E37" s="403">
        <f>(D37*16%)</f>
        <v>978.43200000000013</v>
      </c>
      <c r="F37" s="403">
        <f t="shared" ref="F37:F45" si="4">(F36*$I$15+F36)</f>
        <v>3387.3840000000005</v>
      </c>
      <c r="G37" s="404">
        <f t="shared" ref="G37:G45" si="5">SUM(C37:F37)</f>
        <v>44454.349333333324</v>
      </c>
      <c r="H37" s="405">
        <f>IF($U$42=TRUE,Flex!$BE$51,(H36*$I$15+H36))</f>
        <v>31360.298666666666</v>
      </c>
      <c r="I37" s="406">
        <f>IF(R4=1,SUM(Flex!D51:D62),SUM('Flex Extranjeros'!D51:D62))</f>
        <v>533452.19199999992</v>
      </c>
      <c r="J37" s="411"/>
      <c r="K37" s="538"/>
      <c r="L37" s="408">
        <f>IF(R4=1,SUM(Flex!N51:N62),SUM('Flex Extranjeros'!N51:N62))</f>
        <v>0</v>
      </c>
      <c r="M37" s="409">
        <f t="shared" si="1"/>
        <v>12</v>
      </c>
      <c r="R37" s="375">
        <v>2</v>
      </c>
      <c r="S37" s="410">
        <f>IF(R4=1,SUM(Flex!AM51:AM62),SUM('Flex Extranjeros'!AM51:AM62))</f>
        <v>533452.19199999992</v>
      </c>
      <c r="T37" s="412"/>
      <c r="U37" s="397" t="b">
        <v>0</v>
      </c>
      <c r="V37" s="398" t="s">
        <v>196</v>
      </c>
      <c r="W37" s="398"/>
      <c r="X37" s="377"/>
      <c r="Y37" s="377"/>
    </row>
    <row r="38" spans="2:25" ht="16.5" customHeight="1" x14ac:dyDescent="0.3">
      <c r="B38" s="402">
        <v>3</v>
      </c>
      <c r="C38" s="403">
        <f t="shared" si="2"/>
        <v>35332.266666666663</v>
      </c>
      <c r="D38" s="403">
        <f t="shared" si="3"/>
        <v>6359.8080000000009</v>
      </c>
      <c r="E38" s="403">
        <f t="shared" ref="E38:E45" si="6">(D38*16%)</f>
        <v>1017.5692800000002</v>
      </c>
      <c r="F38" s="403">
        <f t="shared" si="4"/>
        <v>3522.8793600000004</v>
      </c>
      <c r="G38" s="404">
        <f t="shared" si="5"/>
        <v>46232.52330666667</v>
      </c>
      <c r="H38" s="405">
        <f>IF($U$42=TRUE,Flex!$BE$63,(H37*$I$15+H37))</f>
        <v>32614.710613333333</v>
      </c>
      <c r="I38" s="413">
        <f>IF(R4=1,SUM(Flex!D63:D74),SUM('Flex Extranjeros'!D63:D74))</f>
        <v>554790.2796799998</v>
      </c>
      <c r="J38" s="411"/>
      <c r="K38" s="538"/>
      <c r="L38" s="414">
        <f>IF(R4=1,SUM(Flex!N63:N74),SUM('Flex Extranjeros'!N63:N74))</f>
        <v>0</v>
      </c>
      <c r="M38" s="409">
        <f t="shared" si="1"/>
        <v>11.999999999999995</v>
      </c>
      <c r="R38" s="375">
        <v>3</v>
      </c>
      <c r="S38" s="410">
        <f>IF(R4=1,SUM(Flex!AM63:AM74),SUM('Flex Extranjeros'!AM63:AM74))</f>
        <v>554790.2796799998</v>
      </c>
      <c r="T38" s="412"/>
      <c r="U38" s="397" t="b">
        <v>0</v>
      </c>
      <c r="V38" s="398" t="s">
        <v>197</v>
      </c>
      <c r="W38" s="398"/>
      <c r="X38" s="377"/>
      <c r="Y38" s="377"/>
    </row>
    <row r="39" spans="2:25" ht="16.5" customHeight="1" x14ac:dyDescent="0.3">
      <c r="B39" s="402">
        <v>4</v>
      </c>
      <c r="C39" s="403">
        <f t="shared" si="2"/>
        <v>36745.55733333333</v>
      </c>
      <c r="D39" s="403">
        <f t="shared" si="3"/>
        <v>6614.2003200000008</v>
      </c>
      <c r="E39" s="403">
        <f t="shared" si="6"/>
        <v>1058.2720512000001</v>
      </c>
      <c r="F39" s="403">
        <f t="shared" si="4"/>
        <v>3663.7945344000004</v>
      </c>
      <c r="G39" s="404">
        <f t="shared" si="5"/>
        <v>48081.824238933339</v>
      </c>
      <c r="H39" s="405">
        <f>IF($U$42=TRUE,Flex!$BE$75,(H38*$I$15+H38))</f>
        <v>33919.299037866665</v>
      </c>
      <c r="I39" s="413">
        <f>IF(R4=1,SUM(Flex!D75:D86),SUM('Flex Extranjeros'!D75:D86))</f>
        <v>576981.89086719987</v>
      </c>
      <c r="J39" s="411"/>
      <c r="K39" s="538"/>
      <c r="L39" s="414">
        <f>IF(R4=1,SUM(Flex!N75:N86),SUM('Flex Extranjeros'!N75:N86))</f>
        <v>0</v>
      </c>
      <c r="M39" s="409">
        <f t="shared" si="1"/>
        <v>11.999999999999996</v>
      </c>
      <c r="R39" s="375">
        <v>4</v>
      </c>
      <c r="S39" s="410">
        <f>IF(R4=1,SUM(Flex!AM75:AM86),SUM('Flex Extranjeros'!AM75:AM86))</f>
        <v>576981.89086719987</v>
      </c>
      <c r="T39" s="412"/>
      <c r="X39" s="377"/>
      <c r="Y39" s="377"/>
    </row>
    <row r="40" spans="2:25" ht="16.5" customHeight="1" x14ac:dyDescent="0.3">
      <c r="B40" s="402">
        <v>5</v>
      </c>
      <c r="C40" s="403">
        <f t="shared" si="2"/>
        <v>38215.379626666661</v>
      </c>
      <c r="D40" s="403">
        <f t="shared" si="3"/>
        <v>6878.7683328000012</v>
      </c>
      <c r="E40" s="403">
        <f t="shared" si="6"/>
        <v>1100.6029332480002</v>
      </c>
      <c r="F40" s="403">
        <f t="shared" si="4"/>
        <v>3810.3463157760007</v>
      </c>
      <c r="G40" s="404">
        <f t="shared" si="5"/>
        <v>50005.097208490661</v>
      </c>
      <c r="H40" s="405">
        <f>IF($U$42=TRUE,Flex!$BE$87,(H39*$I$15+H39))</f>
        <v>35276.070999381329</v>
      </c>
      <c r="I40" s="413">
        <f>IF(R4=1,SUM(Flex!D87:D98),SUM('Flex Extranjeros'!D87:D98))</f>
        <v>600061.16650188796</v>
      </c>
      <c r="J40" s="411"/>
      <c r="K40" s="538"/>
      <c r="L40" s="414">
        <f>IF(R4=1,SUM(Flex!N87:N98),SUM('Flex Extranjeros'!N87:N98))</f>
        <v>0</v>
      </c>
      <c r="M40" s="409">
        <f t="shared" si="1"/>
        <v>12</v>
      </c>
      <c r="R40" s="375">
        <v>5</v>
      </c>
      <c r="S40" s="410">
        <f>IF(R4=1,SUM(Flex!AM87:AM98),SUM('Flex Extranjeros'!AM87:AM98))</f>
        <v>600061.16650188796</v>
      </c>
      <c r="T40" s="412"/>
      <c r="X40" s="377"/>
      <c r="Y40" s="377"/>
    </row>
    <row r="41" spans="2:25" ht="16.5" customHeight="1" x14ac:dyDescent="0.3">
      <c r="B41" s="402">
        <v>6</v>
      </c>
      <c r="C41" s="403">
        <f t="shared" si="2"/>
        <v>39743.994811733326</v>
      </c>
      <c r="D41" s="403">
        <f t="shared" si="3"/>
        <v>7153.919066112001</v>
      </c>
      <c r="E41" s="403">
        <f t="shared" si="6"/>
        <v>1144.6270505779203</v>
      </c>
      <c r="F41" s="403">
        <f t="shared" si="4"/>
        <v>3962.7601684070405</v>
      </c>
      <c r="G41" s="404">
        <f t="shared" si="5"/>
        <v>52005.301096830284</v>
      </c>
      <c r="H41" s="405">
        <f>IF($U$42=TRUE,Flex!$BE$99,(H40*$I$15+H40))</f>
        <v>36687.113839356585</v>
      </c>
      <c r="I41" s="413">
        <f>IF(R4=1,SUM(Flex!Q39:Q50),SUM('Flex Extranjeros'!Q39:Q50))</f>
        <v>624063.61316196341</v>
      </c>
      <c r="J41" s="411"/>
      <c r="K41" s="407"/>
      <c r="L41" s="414">
        <f>IF(R4=1,SUM(Flex!AA39:AA50),SUM('Flex Extranjeros'!AA39:AA50))</f>
        <v>0</v>
      </c>
      <c r="M41" s="409">
        <f t="shared" si="1"/>
        <v>12</v>
      </c>
      <c r="R41" s="375">
        <v>6</v>
      </c>
      <c r="S41" s="410">
        <f>IF(R4=1,SUM(Flex!AO39:AO50),SUM('Flex Extranjeros'!AO39:AO50))</f>
        <v>624063.61316196341</v>
      </c>
      <c r="T41" s="412"/>
      <c r="U41" s="395" t="s">
        <v>168</v>
      </c>
      <c r="V41" s="395" t="s">
        <v>71</v>
      </c>
      <c r="X41" s="377"/>
      <c r="Y41" s="377"/>
    </row>
    <row r="42" spans="2:25" ht="16.5" customHeight="1" x14ac:dyDescent="0.3">
      <c r="B42" s="402">
        <v>7</v>
      </c>
      <c r="C42" s="403">
        <f t="shared" si="2"/>
        <v>41333.754604202659</v>
      </c>
      <c r="D42" s="403">
        <f t="shared" si="3"/>
        <v>7440.0758287564813</v>
      </c>
      <c r="E42" s="403">
        <f t="shared" si="6"/>
        <v>1190.412132601037</v>
      </c>
      <c r="F42" s="403">
        <f t="shared" si="4"/>
        <v>4121.2705751433223</v>
      </c>
      <c r="G42" s="404">
        <f t="shared" si="5"/>
        <v>54085.513140703501</v>
      </c>
      <c r="H42" s="405">
        <f>IF($U$42=TRUE,Flex!$BE$111,(H41*$I$15+H41))</f>
        <v>38154.59839293085</v>
      </c>
      <c r="I42" s="413">
        <f>IF(R4=1,SUM(Flex!Q51:Q62),SUM('Flex Extranjeros'!Q51:Q62))</f>
        <v>649026.15768844192</v>
      </c>
      <c r="J42" s="411"/>
      <c r="K42" s="407"/>
      <c r="L42" s="414">
        <f>IF(R4=1,SUM(Flex!AA51:AA62),SUM('Flex Extranjeros'!AA51:AA62))</f>
        <v>0</v>
      </c>
      <c r="M42" s="409">
        <f>(I42/G42)+L42</f>
        <v>11.999999999999998</v>
      </c>
      <c r="R42" s="375">
        <v>7</v>
      </c>
      <c r="S42" s="410">
        <f>IF(R4=1,SUM(Flex!AO51:AO62),SUM('Flex Extranjeros'!AO51:AO62))</f>
        <v>649026.15768844192</v>
      </c>
      <c r="T42" s="412"/>
      <c r="U42" s="397" t="b">
        <v>0</v>
      </c>
      <c r="V42" s="398" t="s">
        <v>198</v>
      </c>
      <c r="X42" s="377"/>
      <c r="Y42" s="377"/>
    </row>
    <row r="43" spans="2:25" ht="16.5" customHeight="1" x14ac:dyDescent="0.3">
      <c r="B43" s="402">
        <v>8</v>
      </c>
      <c r="C43" s="403">
        <f t="shared" si="2"/>
        <v>42987.104788370765</v>
      </c>
      <c r="D43" s="403">
        <f t="shared" si="3"/>
        <v>7737.6788619067402</v>
      </c>
      <c r="E43" s="403">
        <f t="shared" si="6"/>
        <v>1238.0286179050784</v>
      </c>
      <c r="F43" s="403">
        <f t="shared" si="4"/>
        <v>4286.1213981490555</v>
      </c>
      <c r="G43" s="404">
        <f t="shared" si="5"/>
        <v>56248.933666331643</v>
      </c>
      <c r="H43" s="405">
        <f>IF($U$42=TRUE,Flex!$BE$123,(H42*$I$15+H42))</f>
        <v>39680.782328648085</v>
      </c>
      <c r="I43" s="413">
        <f>IF(R4=1,SUM(Flex!Q63:Q74),SUM('Flex Extranjeros'!Q63:Q74))</f>
        <v>674987.20399597962</v>
      </c>
      <c r="J43" s="411"/>
      <c r="K43" s="407"/>
      <c r="L43" s="414">
        <f>IF(R4=1,SUM(Flex!AA63:AA74),SUM('Flex Extranjeros'!AA63:AA74))</f>
        <v>0</v>
      </c>
      <c r="M43" s="409">
        <f t="shared" si="1"/>
        <v>11.999999999999998</v>
      </c>
      <c r="R43" s="375">
        <v>8</v>
      </c>
      <c r="S43" s="410">
        <f>IF(R4=1,SUM(Flex!AO63:AO74),SUM('Flex Extranjeros'!AO63:AO74))</f>
        <v>674987.20399597962</v>
      </c>
      <c r="T43" s="412"/>
      <c r="X43" s="377"/>
      <c r="Y43" s="377"/>
    </row>
    <row r="44" spans="2:25" ht="16.5" customHeight="1" x14ac:dyDescent="0.3">
      <c r="B44" s="402">
        <v>9</v>
      </c>
      <c r="C44" s="403">
        <f t="shared" si="2"/>
        <v>44706.588979905595</v>
      </c>
      <c r="D44" s="403">
        <f t="shared" si="3"/>
        <v>8047.1860163830097</v>
      </c>
      <c r="E44" s="403">
        <f t="shared" si="6"/>
        <v>1287.5497626212816</v>
      </c>
      <c r="F44" s="403">
        <f t="shared" si="4"/>
        <v>4457.5662540750182</v>
      </c>
      <c r="G44" s="404">
        <f t="shared" si="5"/>
        <v>58498.891012984903</v>
      </c>
      <c r="H44" s="405">
        <f>IF($U$42=TRUE,Flex!$BE$135,(H43*$I$15+H43))</f>
        <v>41268.013621794009</v>
      </c>
      <c r="I44" s="413">
        <f>IF(R4=1,SUM(Flex!Q75:Q86),SUM('Flex Extranjeros'!Q75:Q86))</f>
        <v>701986.6921558188</v>
      </c>
      <c r="J44" s="411"/>
      <c r="K44" s="407"/>
      <c r="L44" s="414">
        <f>IF(R4=1,SUM(Flex!AA75:AA86),SUM('Flex Extranjeros'!AA75:AA86))</f>
        <v>0</v>
      </c>
      <c r="M44" s="409">
        <f t="shared" si="1"/>
        <v>12</v>
      </c>
      <c r="R44" s="375">
        <v>9</v>
      </c>
      <c r="S44" s="410">
        <f>IF(R4=1,SUM(Flex!AO75:AO86),SUM('Flex Extranjeros'!AO75:AO86))</f>
        <v>701986.6921558188</v>
      </c>
      <c r="T44" s="412"/>
      <c r="X44" s="377"/>
      <c r="Y44" s="377"/>
    </row>
    <row r="45" spans="2:25" ht="16.5" customHeight="1" x14ac:dyDescent="0.3">
      <c r="B45" s="402">
        <v>10</v>
      </c>
      <c r="C45" s="403">
        <f t="shared" si="2"/>
        <v>46494.852539101819</v>
      </c>
      <c r="D45" s="403">
        <f t="shared" si="3"/>
        <v>8369.0734570383302</v>
      </c>
      <c r="E45" s="403">
        <f t="shared" si="6"/>
        <v>1339.0517531261328</v>
      </c>
      <c r="F45" s="403">
        <f t="shared" si="4"/>
        <v>4635.8689042380192</v>
      </c>
      <c r="G45" s="404">
        <f t="shared" si="5"/>
        <v>60838.846653504304</v>
      </c>
      <c r="H45" s="405">
        <f>IF($U$42=TRUE,Flex!$BE$147,(H44*$I$15+H44))</f>
        <v>42918.734166665767</v>
      </c>
      <c r="I45" s="413">
        <f>IF(R4=1,SUM(Flex!Q87:Q98),SUM('Flex Extranjeros'!Q87:Q93))</f>
        <v>730066.15984205157</v>
      </c>
      <c r="J45" s="411"/>
      <c r="K45" s="407"/>
      <c r="L45" s="414">
        <f>IF(R4=1,SUM(Flex!AA87:AA98),SUM('Flex Extranjeros'!AA87:AA93))</f>
        <v>0</v>
      </c>
      <c r="M45" s="409">
        <f>IFERROR((I45/G45)+L45,0)</f>
        <v>11.999999999999998</v>
      </c>
      <c r="R45" s="375">
        <v>10</v>
      </c>
      <c r="S45" s="410">
        <f>IF(R4=1,SUM(Flex!AO87:AO98),SUM('Flex Extranjeros'!AO87:AO93))</f>
        <v>730066.15984205157</v>
      </c>
      <c r="T45" s="412"/>
      <c r="X45" s="377"/>
      <c r="Y45" s="377"/>
    </row>
    <row r="46" spans="2:25" ht="18" x14ac:dyDescent="0.3">
      <c r="B46" s="457"/>
      <c r="C46"/>
      <c r="D46"/>
      <c r="E46" s="545" t="s">
        <v>199</v>
      </c>
      <c r="F46" s="545"/>
      <c r="G46" s="545"/>
      <c r="H46" s="546"/>
      <c r="I46" s="416">
        <f>SUM(I36:I45)</f>
        <v>6158350.1558933426</v>
      </c>
      <c r="K46" s="417">
        <f>SUM(K36:K45)</f>
        <v>0</v>
      </c>
      <c r="L46" s="418">
        <f>SUM(L36:L45)</f>
        <v>0</v>
      </c>
      <c r="M46" s="419">
        <f>SUM(M36:M45)</f>
        <v>119.99999999999999</v>
      </c>
      <c r="S46" s="412">
        <f>SUM(S36:S45)</f>
        <v>6158350.1558933426</v>
      </c>
      <c r="T46" s="420"/>
      <c r="X46" s="377"/>
      <c r="Y46" s="377"/>
    </row>
    <row r="47" spans="2:25" ht="18.75" customHeight="1" x14ac:dyDescent="0.3">
      <c r="B47" s="457"/>
      <c r="C47"/>
      <c r="D47"/>
      <c r="E47" s="547" t="s">
        <v>200</v>
      </c>
      <c r="F47" s="547"/>
      <c r="G47" s="547"/>
      <c r="H47" s="548"/>
      <c r="I47" s="421">
        <f>K46</f>
        <v>0</v>
      </c>
      <c r="K47" s="455" t="s">
        <v>4</v>
      </c>
      <c r="L47" s="544" t="str">
        <f>IF(Q4=1,Flex!S9,'Flex Extranjeros'!S9)</f>
        <v/>
      </c>
      <c r="M47" s="422"/>
      <c r="N47" s="423"/>
      <c r="O47" s="423"/>
      <c r="P47" s="423"/>
      <c r="Q47" s="423"/>
      <c r="S47" s="420"/>
      <c r="T47" s="420"/>
      <c r="X47" s="377"/>
      <c r="Y47" s="377"/>
    </row>
    <row r="48" spans="2:25" ht="18" x14ac:dyDescent="0.3">
      <c r="B48" s="457"/>
      <c r="C48"/>
      <c r="D48"/>
      <c r="E48"/>
      <c r="F48" s="549" t="s">
        <v>201</v>
      </c>
      <c r="G48" s="550"/>
      <c r="H48" s="551"/>
      <c r="I48" s="424">
        <f>SUM(I46:I47)</f>
        <v>6158350.1558933426</v>
      </c>
      <c r="K48" s="456" t="s">
        <v>210</v>
      </c>
      <c r="L48" s="544"/>
      <c r="M48" s="425"/>
      <c r="Q48" s="423"/>
      <c r="R48" s="426">
        <f>IF(R4=1,Flex!D33-I48,'Flex Extranjeros'!D33-I48)</f>
        <v>8.3819031715393066E-9</v>
      </c>
      <c r="S48" s="427" t="b">
        <f>IF(R4=1,M46=120,IF(R4=2,M46=115))</f>
        <v>1</v>
      </c>
      <c r="T48" s="420"/>
      <c r="X48" s="377"/>
      <c r="Y48" s="377"/>
    </row>
    <row r="49" spans="2:25" ht="18.75" customHeight="1" x14ac:dyDescent="0.3">
      <c r="B49" s="457"/>
      <c r="C49"/>
      <c r="D49"/>
      <c r="E49"/>
      <c r="F49" s="557" t="s">
        <v>211</v>
      </c>
      <c r="G49" s="558"/>
      <c r="H49" s="559"/>
      <c r="I49" s="428">
        <f>+G25</f>
        <v>1408920.7999999998</v>
      </c>
      <c r="K49" s="429"/>
      <c r="L49" s="429"/>
      <c r="M49" s="430"/>
      <c r="N49" s="423"/>
      <c r="O49" s="423"/>
      <c r="P49" s="423"/>
      <c r="Q49" s="423"/>
      <c r="T49" s="420"/>
      <c r="X49" s="377"/>
      <c r="Y49" s="377"/>
    </row>
    <row r="50" spans="2:25" ht="18" x14ac:dyDescent="0.3">
      <c r="B50" s="457"/>
      <c r="C50"/>
      <c r="D50"/>
      <c r="E50"/>
      <c r="F50" s="561" t="s">
        <v>202</v>
      </c>
      <c r="G50" s="562"/>
      <c r="H50" s="563"/>
      <c r="I50" s="431">
        <f>I48+I49</f>
        <v>7567270.9558933424</v>
      </c>
      <c r="J50" s="432"/>
      <c r="K50" s="415"/>
      <c r="L50" s="433"/>
      <c r="M50" s="430"/>
      <c r="X50" s="377"/>
      <c r="Y50" s="377"/>
    </row>
    <row r="51" spans="2:25" ht="9" customHeight="1" x14ac:dyDescent="0.3">
      <c r="B51" s="457"/>
      <c r="C51"/>
      <c r="D51"/>
      <c r="E51"/>
      <c r="F51" s="441"/>
      <c r="G51" s="441"/>
      <c r="H51" s="441"/>
      <c r="I51" s="434"/>
      <c r="J51" s="432"/>
      <c r="K51" s="433"/>
      <c r="L51" s="433"/>
      <c r="M51" s="396"/>
      <c r="X51" s="377"/>
      <c r="Y51" s="377"/>
    </row>
    <row r="52" spans="2:25" ht="18" x14ac:dyDescent="0.3">
      <c r="B52" s="457"/>
      <c r="C52"/>
      <c r="D52"/>
      <c r="E52"/>
      <c r="F52" s="564" t="s">
        <v>203</v>
      </c>
      <c r="G52" s="565"/>
      <c r="H52" s="565"/>
      <c r="I52" s="486" t="str">
        <f>IF(Q4=1,Flex!S9,'Flex Extranjeros'!S9)</f>
        <v/>
      </c>
      <c r="J52" s="432"/>
      <c r="K52" s="433"/>
      <c r="L52" s="433"/>
      <c r="M52" s="396"/>
      <c r="X52" s="377"/>
      <c r="Y52" s="377"/>
    </row>
    <row r="53" spans="2:25" ht="15" customHeight="1" x14ac:dyDescent="0.3">
      <c r="B53" s="371"/>
      <c r="I53" s="434"/>
      <c r="J53" s="432"/>
      <c r="K53" s="433"/>
      <c r="L53" s="433"/>
      <c r="M53" s="396"/>
      <c r="X53" s="377"/>
      <c r="Y53" s="377"/>
    </row>
    <row r="54" spans="2:25" x14ac:dyDescent="0.3">
      <c r="B54" s="371"/>
      <c r="I54" s="434"/>
      <c r="J54" s="432"/>
      <c r="K54" s="433"/>
      <c r="L54" s="433"/>
      <c r="M54" s="396"/>
      <c r="X54" s="377"/>
      <c r="Y54" s="377"/>
    </row>
    <row r="55" spans="2:25" ht="15" customHeight="1" x14ac:dyDescent="0.3">
      <c r="B55" s="371"/>
      <c r="I55" s="434"/>
      <c r="J55" s="432"/>
      <c r="K55" s="433"/>
      <c r="L55" s="433"/>
      <c r="M55" s="396"/>
      <c r="X55" s="377"/>
      <c r="Y55" s="377"/>
    </row>
    <row r="56" spans="2:25" x14ac:dyDescent="0.3">
      <c r="B56" s="371"/>
      <c r="I56" s="434"/>
      <c r="J56" s="432"/>
      <c r="K56" s="433"/>
      <c r="L56" s="433"/>
      <c r="M56" s="396"/>
      <c r="X56" s="377"/>
      <c r="Y56" s="377"/>
    </row>
    <row r="57" spans="2:25" ht="15" customHeight="1" x14ac:dyDescent="0.3">
      <c r="B57" s="371"/>
      <c r="I57" s="434"/>
      <c r="J57" s="432"/>
      <c r="K57" s="433"/>
      <c r="L57" s="433"/>
      <c r="M57" s="396"/>
      <c r="X57" s="377"/>
      <c r="Y57" s="377"/>
    </row>
    <row r="58" spans="2:25" x14ac:dyDescent="0.3">
      <c r="B58" s="371"/>
      <c r="I58" s="434"/>
      <c r="J58" s="432"/>
      <c r="K58" s="433"/>
      <c r="L58" s="433"/>
      <c r="M58" s="396"/>
      <c r="X58" s="377"/>
      <c r="Y58" s="377"/>
    </row>
    <row r="59" spans="2:25" ht="15" customHeight="1" x14ac:dyDescent="0.3">
      <c r="B59" s="371"/>
      <c r="I59" s="434"/>
      <c r="J59" s="432"/>
      <c r="K59" s="433"/>
      <c r="L59" s="433"/>
      <c r="M59" s="396"/>
      <c r="X59" s="377"/>
      <c r="Y59" s="377"/>
    </row>
    <row r="60" spans="2:25" x14ac:dyDescent="0.3">
      <c r="B60" s="371"/>
      <c r="I60" s="434"/>
      <c r="J60" s="432"/>
      <c r="K60" s="433"/>
      <c r="L60" s="433"/>
      <c r="M60" s="396"/>
      <c r="X60" s="377"/>
      <c r="Y60" s="377"/>
    </row>
    <row r="61" spans="2:25" ht="15" customHeight="1" x14ac:dyDescent="0.3">
      <c r="B61" s="371"/>
      <c r="I61" s="434"/>
      <c r="J61" s="432"/>
      <c r="K61" s="433"/>
      <c r="L61" s="433"/>
      <c r="M61" s="396"/>
      <c r="X61" s="377"/>
      <c r="Y61" s="377"/>
    </row>
    <row r="62" spans="2:25" x14ac:dyDescent="0.3">
      <c r="B62" s="371"/>
      <c r="I62" s="434"/>
      <c r="J62" s="432"/>
      <c r="K62" s="433"/>
      <c r="L62" s="433"/>
      <c r="M62" s="396"/>
      <c r="X62" s="377"/>
      <c r="Y62" s="377"/>
    </row>
    <row r="63" spans="2:25" ht="15" customHeight="1" x14ac:dyDescent="0.3">
      <c r="B63" s="371"/>
      <c r="I63" s="434"/>
      <c r="J63" s="432"/>
      <c r="K63" s="433"/>
      <c r="L63" s="433"/>
      <c r="M63" s="396"/>
      <c r="X63" s="377"/>
      <c r="Y63" s="377"/>
    </row>
    <row r="64" spans="2:25" x14ac:dyDescent="0.3">
      <c r="B64" s="371"/>
      <c r="I64" s="434"/>
      <c r="J64" s="432"/>
      <c r="K64" s="433"/>
      <c r="L64" s="433"/>
      <c r="M64" s="396"/>
      <c r="X64" s="377"/>
      <c r="Y64" s="377"/>
    </row>
    <row r="65" spans="2:25" ht="15" customHeight="1" x14ac:dyDescent="0.3">
      <c r="B65" s="371"/>
      <c r="I65" s="434"/>
      <c r="J65" s="432"/>
      <c r="K65" s="433"/>
      <c r="L65" s="433"/>
      <c r="M65" s="396"/>
      <c r="X65" s="377"/>
      <c r="Y65" s="377"/>
    </row>
    <row r="66" spans="2:25" x14ac:dyDescent="0.3">
      <c r="B66" s="371"/>
      <c r="I66" s="434"/>
      <c r="J66" s="432"/>
      <c r="K66" s="433"/>
      <c r="L66" s="433"/>
      <c r="M66" s="396"/>
      <c r="X66" s="377"/>
      <c r="Y66" s="377"/>
    </row>
    <row r="67" spans="2:25" ht="15" customHeight="1" x14ac:dyDescent="0.3">
      <c r="B67" s="371"/>
      <c r="I67" s="434"/>
      <c r="J67" s="432"/>
      <c r="K67" s="433"/>
      <c r="L67" s="433"/>
      <c r="M67" s="396"/>
    </row>
    <row r="68" spans="2:25" x14ac:dyDescent="0.3">
      <c r="B68" s="371"/>
      <c r="I68" s="434"/>
      <c r="J68" s="432"/>
      <c r="K68" s="433"/>
      <c r="L68" s="433"/>
      <c r="M68" s="396"/>
    </row>
    <row r="69" spans="2:25" ht="15" customHeight="1" x14ac:dyDescent="0.3">
      <c r="B69" s="371"/>
      <c r="I69" s="434"/>
      <c r="J69" s="432"/>
      <c r="K69" s="433"/>
      <c r="L69" s="433"/>
      <c r="M69" s="396"/>
    </row>
    <row r="70" spans="2:25" x14ac:dyDescent="0.3">
      <c r="B70" s="371"/>
      <c r="I70" s="434"/>
      <c r="J70" s="432"/>
      <c r="K70" s="433"/>
      <c r="L70" s="433"/>
      <c r="M70" s="396"/>
    </row>
    <row r="71" spans="2:25" ht="15" customHeight="1" x14ac:dyDescent="0.3">
      <c r="B71" s="371"/>
      <c r="I71" s="434"/>
      <c r="J71" s="432"/>
      <c r="K71" s="433"/>
      <c r="L71" s="433"/>
      <c r="M71" s="396"/>
    </row>
    <row r="72" spans="2:25" x14ac:dyDescent="0.3">
      <c r="B72" s="371"/>
      <c r="I72" s="434"/>
      <c r="J72" s="432"/>
      <c r="K72" s="433"/>
      <c r="L72" s="433"/>
      <c r="M72" s="396"/>
    </row>
    <row r="73" spans="2:25" ht="15" customHeight="1" x14ac:dyDescent="0.3">
      <c r="B73" s="371"/>
      <c r="I73" s="434"/>
      <c r="J73" s="432"/>
      <c r="K73" s="433"/>
      <c r="L73" s="433"/>
      <c r="M73" s="396"/>
    </row>
    <row r="74" spans="2:25" x14ac:dyDescent="0.3">
      <c r="B74" s="371"/>
      <c r="I74" s="434"/>
      <c r="J74" s="432"/>
      <c r="K74" s="433"/>
      <c r="L74" s="433"/>
      <c r="M74" s="396"/>
    </row>
    <row r="75" spans="2:25" ht="15" customHeight="1" x14ac:dyDescent="0.3">
      <c r="B75" s="371"/>
      <c r="I75" s="434"/>
      <c r="J75" s="432"/>
      <c r="K75" s="433"/>
      <c r="L75" s="433"/>
      <c r="M75" s="396"/>
    </row>
    <row r="76" spans="2:25" x14ac:dyDescent="0.3">
      <c r="B76" s="371"/>
      <c r="I76" s="434"/>
      <c r="J76" s="432"/>
      <c r="K76" s="433"/>
      <c r="L76" s="433"/>
      <c r="M76" s="396"/>
    </row>
    <row r="77" spans="2:25" ht="15" customHeight="1" x14ac:dyDescent="0.3">
      <c r="B77" s="371"/>
      <c r="I77" s="434"/>
      <c r="J77" s="432"/>
      <c r="K77" s="433"/>
      <c r="L77" s="433"/>
      <c r="M77" s="396"/>
    </row>
    <row r="78" spans="2:25" x14ac:dyDescent="0.3">
      <c r="B78" s="371"/>
      <c r="I78" s="434"/>
      <c r="J78" s="432"/>
      <c r="K78" s="433"/>
      <c r="L78" s="433"/>
      <c r="M78" s="396"/>
    </row>
    <row r="79" spans="2:25" ht="15" customHeight="1" x14ac:dyDescent="0.3">
      <c r="B79" s="371"/>
      <c r="I79" s="434"/>
      <c r="J79" s="432"/>
      <c r="K79" s="433"/>
      <c r="L79" s="433"/>
      <c r="M79" s="396"/>
    </row>
    <row r="80" spans="2:25" x14ac:dyDescent="0.3">
      <c r="B80" s="371"/>
      <c r="I80" s="434"/>
      <c r="J80" s="432"/>
      <c r="K80" s="433"/>
      <c r="L80" s="433"/>
      <c r="M80" s="396"/>
    </row>
    <row r="81" spans="2:20" ht="15" customHeight="1" x14ac:dyDescent="0.3">
      <c r="B81" s="371"/>
      <c r="I81" s="434"/>
      <c r="J81" s="432"/>
      <c r="K81" s="433"/>
      <c r="L81" s="433"/>
      <c r="M81" s="396"/>
    </row>
    <row r="82" spans="2:20" x14ac:dyDescent="0.3">
      <c r="B82" s="371"/>
      <c r="I82" s="434"/>
      <c r="J82" s="432"/>
      <c r="K82" s="433"/>
      <c r="L82" s="433"/>
      <c r="M82" s="396"/>
    </row>
    <row r="83" spans="2:20" ht="15" customHeight="1" x14ac:dyDescent="0.3">
      <c r="B83"/>
      <c r="C83"/>
      <c r="D83"/>
      <c r="I83" s="434"/>
      <c r="J83" s="432"/>
      <c r="K83" s="433"/>
      <c r="L83" s="433"/>
      <c r="M83" s="396"/>
    </row>
    <row r="84" spans="2:20" x14ac:dyDescent="0.3">
      <c r="B84"/>
      <c r="C84"/>
      <c r="D84"/>
      <c r="I84" s="434"/>
      <c r="J84" s="432"/>
      <c r="K84" s="433"/>
      <c r="L84" s="433"/>
      <c r="M84" s="396"/>
    </row>
    <row r="85" spans="2:20" ht="15" customHeight="1" x14ac:dyDescent="0.3">
      <c r="B85" s="371"/>
      <c r="I85" s="434"/>
      <c r="J85" s="432"/>
      <c r="K85" s="433"/>
      <c r="L85" s="433"/>
      <c r="M85" s="396"/>
    </row>
    <row r="86" spans="2:20" x14ac:dyDescent="0.3">
      <c r="B86" s="371"/>
      <c r="I86" s="434"/>
      <c r="J86" s="432"/>
      <c r="K86" s="433"/>
      <c r="L86" s="433"/>
      <c r="M86" s="396"/>
    </row>
    <row r="87" spans="2:20" ht="15" customHeight="1" x14ac:dyDescent="0.3">
      <c r="C87" s="411"/>
      <c r="D87" s="411"/>
      <c r="E87" s="411"/>
      <c r="F87" s="411"/>
      <c r="G87" s="411"/>
      <c r="H87" s="411"/>
      <c r="M87" s="396"/>
      <c r="N87" s="423"/>
      <c r="O87" s="423"/>
      <c r="P87" s="423"/>
      <c r="Q87" s="423"/>
      <c r="S87" s="420"/>
      <c r="T87" s="420"/>
    </row>
    <row r="88" spans="2:20" x14ac:dyDescent="0.3">
      <c r="C88" s="411"/>
      <c r="D88" s="411"/>
      <c r="E88" s="411"/>
      <c r="F88" s="411"/>
      <c r="G88" s="411"/>
      <c r="H88" s="411"/>
      <c r="M88" s="396"/>
      <c r="N88" s="423"/>
      <c r="O88" s="423"/>
      <c r="P88" s="423"/>
      <c r="Q88" s="423"/>
      <c r="S88" s="420"/>
      <c r="T88" s="420"/>
    </row>
    <row r="89" spans="2:20" ht="15" customHeight="1" x14ac:dyDescent="0.3">
      <c r="C89" s="411"/>
      <c r="D89" s="411"/>
      <c r="E89" s="411"/>
      <c r="F89" s="411"/>
      <c r="G89" s="411"/>
      <c r="H89" s="411"/>
      <c r="M89" s="396"/>
      <c r="N89" s="423"/>
      <c r="O89" s="423"/>
      <c r="P89" s="423"/>
      <c r="Q89" s="423"/>
      <c r="S89" s="420"/>
      <c r="T89" s="420"/>
    </row>
    <row r="90" spans="2:20" x14ac:dyDescent="0.3">
      <c r="C90" s="411"/>
      <c r="D90" s="411"/>
      <c r="E90" s="411"/>
      <c r="F90" s="411"/>
      <c r="G90" s="411"/>
      <c r="H90" s="411"/>
      <c r="M90" s="396"/>
      <c r="N90" s="423"/>
      <c r="O90" s="423"/>
      <c r="P90" s="423"/>
      <c r="Q90" s="423"/>
      <c r="S90" s="420"/>
      <c r="T90" s="420"/>
    </row>
    <row r="91" spans="2:20" ht="15" customHeight="1" x14ac:dyDescent="0.3">
      <c r="C91" s="411"/>
      <c r="D91" s="411"/>
      <c r="E91" s="411"/>
      <c r="F91" s="411"/>
      <c r="G91" s="411"/>
      <c r="H91" s="411"/>
      <c r="M91" s="396"/>
      <c r="N91" s="423"/>
      <c r="O91" s="423"/>
      <c r="P91" s="423"/>
      <c r="Q91" s="423"/>
      <c r="S91" s="420"/>
      <c r="T91" s="420"/>
    </row>
    <row r="92" spans="2:20" x14ac:dyDescent="0.3">
      <c r="C92" s="411"/>
      <c r="D92" s="411"/>
      <c r="E92" s="411"/>
      <c r="F92" s="411"/>
      <c r="G92" s="411"/>
      <c r="H92" s="411"/>
      <c r="M92" s="396"/>
      <c r="N92" s="423"/>
      <c r="O92" s="423"/>
      <c r="P92" s="423"/>
      <c r="Q92" s="423"/>
      <c r="S92" s="420"/>
      <c r="T92" s="420"/>
    </row>
    <row r="93" spans="2:20" ht="15" customHeight="1" x14ac:dyDescent="0.3">
      <c r="C93" s="411"/>
      <c r="D93" s="411"/>
      <c r="E93" s="411"/>
      <c r="F93" s="411"/>
      <c r="G93" s="411"/>
      <c r="H93" s="411"/>
      <c r="M93" s="396"/>
      <c r="N93" s="423"/>
      <c r="O93" s="423"/>
      <c r="P93" s="423"/>
      <c r="Q93" s="423"/>
      <c r="S93" s="420"/>
      <c r="T93" s="420"/>
    </row>
    <row r="94" spans="2:20" x14ac:dyDescent="0.3">
      <c r="C94" s="411"/>
      <c r="D94" s="411"/>
      <c r="E94" s="411"/>
      <c r="F94" s="411"/>
      <c r="G94" s="411"/>
      <c r="H94" s="411"/>
      <c r="M94" s="396"/>
      <c r="N94" s="423"/>
      <c r="O94" s="423"/>
      <c r="P94" s="423"/>
      <c r="Q94" s="423"/>
      <c r="S94" s="420"/>
      <c r="T94" s="420"/>
    </row>
    <row r="95" spans="2:20" ht="15" customHeight="1" x14ac:dyDescent="0.3">
      <c r="C95" s="411"/>
      <c r="D95" s="411"/>
      <c r="E95" s="411"/>
      <c r="F95" s="411"/>
      <c r="G95" s="411"/>
      <c r="H95" s="411"/>
      <c r="M95" s="396"/>
      <c r="N95" s="423"/>
      <c r="O95" s="423"/>
      <c r="P95" s="423"/>
      <c r="Q95" s="423"/>
      <c r="S95" s="420"/>
      <c r="T95" s="420"/>
    </row>
    <row r="96" spans="2:20" x14ac:dyDescent="0.3">
      <c r="C96" s="411"/>
      <c r="D96" s="411"/>
      <c r="E96" s="411"/>
      <c r="F96" s="411"/>
      <c r="G96" s="411"/>
      <c r="H96" s="411"/>
      <c r="M96" s="396"/>
      <c r="N96" s="423"/>
      <c r="O96" s="423"/>
      <c r="P96" s="423"/>
      <c r="Q96" s="423"/>
      <c r="S96" s="420"/>
      <c r="T96" s="420"/>
    </row>
    <row r="97" spans="3:20" ht="15" customHeight="1" x14ac:dyDescent="0.3">
      <c r="C97" s="411"/>
      <c r="D97" s="411"/>
      <c r="E97" s="411"/>
      <c r="F97" s="411"/>
      <c r="G97" s="411"/>
      <c r="H97" s="411"/>
      <c r="M97" s="396"/>
      <c r="N97" s="423"/>
      <c r="O97" s="423"/>
      <c r="P97" s="423"/>
      <c r="Q97" s="423"/>
      <c r="S97" s="420"/>
      <c r="T97" s="420"/>
    </row>
    <row r="98" spans="3:20" x14ac:dyDescent="0.3">
      <c r="C98" s="411"/>
      <c r="D98" s="411"/>
      <c r="E98" s="411"/>
      <c r="F98" s="411"/>
      <c r="G98" s="411"/>
      <c r="H98" s="411"/>
      <c r="M98" s="396"/>
      <c r="N98" s="423"/>
      <c r="O98" s="423"/>
      <c r="P98" s="423"/>
      <c r="Q98" s="423"/>
      <c r="S98" s="420"/>
      <c r="T98" s="420"/>
    </row>
    <row r="99" spans="3:20" ht="15" customHeight="1" x14ac:dyDescent="0.3">
      <c r="C99" s="411"/>
      <c r="D99" s="411"/>
      <c r="E99" s="411"/>
      <c r="F99" s="411"/>
      <c r="G99" s="411"/>
      <c r="H99" s="411"/>
      <c r="M99" s="396"/>
      <c r="N99" s="423"/>
      <c r="O99" s="423"/>
      <c r="P99" s="423"/>
      <c r="Q99" s="423"/>
      <c r="S99" s="420"/>
      <c r="T99" s="420"/>
    </row>
    <row r="100" spans="3:20" x14ac:dyDescent="0.3">
      <c r="C100" s="411"/>
      <c r="D100" s="411"/>
      <c r="E100" s="411"/>
      <c r="F100" s="411"/>
      <c r="G100" s="411"/>
      <c r="H100" s="411"/>
      <c r="M100" s="396"/>
      <c r="N100" s="423"/>
      <c r="O100" s="423"/>
      <c r="P100" s="423"/>
      <c r="Q100" s="423"/>
      <c r="S100" s="420"/>
      <c r="T100" s="420"/>
    </row>
    <row r="101" spans="3:20" ht="15" customHeight="1" x14ac:dyDescent="0.3">
      <c r="C101" s="411"/>
      <c r="D101" s="411"/>
      <c r="E101" s="411"/>
      <c r="F101" s="411"/>
      <c r="G101" s="411"/>
      <c r="H101" s="411"/>
      <c r="M101" s="396"/>
      <c r="N101" s="423"/>
      <c r="O101" s="423"/>
      <c r="P101" s="423"/>
      <c r="Q101" s="423"/>
      <c r="S101" s="420"/>
      <c r="T101" s="420"/>
    </row>
    <row r="102" spans="3:20" x14ac:dyDescent="0.3">
      <c r="C102" s="411"/>
      <c r="D102" s="411"/>
      <c r="E102" s="411"/>
      <c r="F102" s="411"/>
      <c r="G102" s="411"/>
      <c r="H102" s="411"/>
      <c r="M102" s="396"/>
      <c r="N102" s="423"/>
      <c r="O102" s="423"/>
      <c r="P102" s="423"/>
      <c r="Q102" s="423"/>
      <c r="S102" s="420"/>
      <c r="T102" s="420"/>
    </row>
    <row r="103" spans="3:20" ht="15" customHeight="1" x14ac:dyDescent="0.3">
      <c r="C103" s="411"/>
      <c r="D103" s="411"/>
      <c r="E103" s="411"/>
      <c r="F103" s="411"/>
      <c r="G103" s="411"/>
      <c r="H103" s="411"/>
      <c r="M103" s="396"/>
      <c r="N103" s="423"/>
      <c r="O103" s="423"/>
      <c r="P103" s="423"/>
      <c r="Q103" s="423"/>
      <c r="S103" s="420"/>
      <c r="T103" s="420"/>
    </row>
    <row r="104" spans="3:20" x14ac:dyDescent="0.3">
      <c r="C104" s="411"/>
      <c r="D104" s="411"/>
      <c r="E104" s="411"/>
      <c r="F104" s="411"/>
      <c r="G104" s="411"/>
      <c r="H104" s="411"/>
      <c r="M104" s="396"/>
      <c r="N104" s="423"/>
      <c r="O104" s="423"/>
      <c r="P104" s="423"/>
      <c r="Q104" s="423"/>
      <c r="S104" s="420"/>
      <c r="T104" s="420"/>
    </row>
    <row r="105" spans="3:20" ht="15" customHeight="1" x14ac:dyDescent="0.3">
      <c r="C105" s="411"/>
      <c r="D105" s="411"/>
      <c r="E105" s="411"/>
      <c r="F105" s="411"/>
      <c r="G105" s="411"/>
      <c r="H105" s="411"/>
      <c r="M105" s="396"/>
      <c r="N105" s="423"/>
      <c r="O105" s="423"/>
      <c r="P105" s="423"/>
      <c r="Q105" s="423"/>
      <c r="S105" s="420"/>
      <c r="T105" s="420"/>
    </row>
    <row r="106" spans="3:20" x14ac:dyDescent="0.3">
      <c r="C106" s="411"/>
      <c r="D106" s="411"/>
      <c r="E106" s="411"/>
      <c r="F106" s="411"/>
      <c r="G106" s="411"/>
      <c r="H106" s="411"/>
      <c r="M106" s="396"/>
      <c r="N106" s="423"/>
      <c r="O106" s="423"/>
      <c r="P106" s="423"/>
      <c r="Q106" s="423"/>
      <c r="S106" s="420"/>
      <c r="T106" s="420"/>
    </row>
    <row r="107" spans="3:20" ht="15" customHeight="1" x14ac:dyDescent="0.3">
      <c r="C107" s="411"/>
      <c r="D107" s="411"/>
      <c r="E107" s="411"/>
      <c r="F107" s="411"/>
      <c r="G107" s="411"/>
      <c r="H107" s="411"/>
      <c r="M107" s="396"/>
      <c r="N107" s="423"/>
      <c r="O107" s="423"/>
      <c r="P107" s="423"/>
      <c r="Q107" s="423"/>
      <c r="S107" s="420"/>
      <c r="T107" s="420"/>
    </row>
    <row r="108" spans="3:20" x14ac:dyDescent="0.3">
      <c r="C108" s="411"/>
      <c r="D108" s="411"/>
      <c r="E108" s="411"/>
      <c r="F108" s="411"/>
      <c r="G108" s="411"/>
      <c r="H108" s="411"/>
      <c r="M108" s="396"/>
      <c r="N108" s="423"/>
      <c r="O108" s="423"/>
      <c r="P108" s="423"/>
      <c r="Q108" s="423"/>
      <c r="S108" s="420"/>
      <c r="T108" s="420"/>
    </row>
    <row r="109" spans="3:20" ht="15" customHeight="1" x14ac:dyDescent="0.3">
      <c r="C109" s="411"/>
      <c r="D109" s="411"/>
      <c r="E109" s="411"/>
      <c r="F109" s="411"/>
      <c r="G109" s="411"/>
      <c r="H109" s="411"/>
      <c r="M109" s="396"/>
      <c r="N109" s="423"/>
      <c r="O109" s="423"/>
      <c r="P109" s="423"/>
      <c r="Q109" s="423"/>
      <c r="S109" s="420"/>
      <c r="T109" s="420"/>
    </row>
    <row r="110" spans="3:20" x14ac:dyDescent="0.3">
      <c r="C110" s="411"/>
      <c r="D110" s="411"/>
      <c r="E110" s="411"/>
      <c r="F110" s="411"/>
      <c r="G110" s="411"/>
      <c r="H110" s="411"/>
      <c r="M110" s="396"/>
      <c r="N110" s="423"/>
      <c r="O110" s="423"/>
      <c r="P110" s="423"/>
      <c r="Q110" s="423"/>
      <c r="S110" s="420"/>
      <c r="T110" s="420"/>
    </row>
    <row r="111" spans="3:20" ht="15" customHeight="1" x14ac:dyDescent="0.3">
      <c r="C111" s="411"/>
      <c r="D111" s="411"/>
      <c r="E111" s="411"/>
      <c r="F111" s="411"/>
      <c r="G111" s="411"/>
      <c r="H111" s="411"/>
      <c r="M111" s="396"/>
      <c r="N111" s="423"/>
      <c r="O111" s="423"/>
      <c r="P111" s="423"/>
      <c r="Q111" s="423"/>
      <c r="S111" s="420"/>
      <c r="T111" s="420"/>
    </row>
    <row r="112" spans="3:20" x14ac:dyDescent="0.3">
      <c r="C112" s="411"/>
      <c r="D112" s="411"/>
      <c r="E112" s="411"/>
      <c r="F112" s="411"/>
      <c r="G112" s="411"/>
      <c r="H112" s="411"/>
      <c r="M112" s="396"/>
      <c r="N112" s="423"/>
      <c r="O112" s="423"/>
      <c r="P112" s="423"/>
      <c r="Q112" s="423"/>
      <c r="S112" s="420"/>
      <c r="T112" s="420"/>
    </row>
    <row r="113" spans="3:20" ht="15" customHeight="1" x14ac:dyDescent="0.3">
      <c r="C113" s="411"/>
      <c r="D113" s="411"/>
      <c r="E113" s="411"/>
      <c r="F113" s="411"/>
      <c r="G113" s="411"/>
      <c r="H113" s="411"/>
      <c r="M113" s="396"/>
      <c r="N113" s="423"/>
      <c r="O113" s="423"/>
      <c r="P113" s="423"/>
      <c r="Q113" s="423"/>
      <c r="S113" s="420"/>
      <c r="T113" s="420"/>
    </row>
    <row r="114" spans="3:20" x14ac:dyDescent="0.3">
      <c r="C114" s="411"/>
      <c r="D114" s="411"/>
      <c r="E114" s="411"/>
      <c r="F114" s="411"/>
      <c r="G114" s="411"/>
      <c r="H114" s="411"/>
      <c r="M114" s="396"/>
      <c r="N114" s="423"/>
      <c r="O114" s="423"/>
      <c r="P114" s="423"/>
      <c r="Q114" s="423"/>
      <c r="S114" s="420"/>
      <c r="T114" s="420"/>
    </row>
    <row r="115" spans="3:20" ht="15" customHeight="1" x14ac:dyDescent="0.3">
      <c r="C115" s="411"/>
      <c r="D115" s="411"/>
      <c r="E115" s="411"/>
      <c r="F115" s="411"/>
      <c r="G115" s="411"/>
      <c r="H115" s="411"/>
      <c r="M115" s="396"/>
      <c r="N115" s="423"/>
      <c r="O115" s="423"/>
      <c r="P115" s="423"/>
      <c r="Q115" s="423"/>
      <c r="S115" s="420"/>
      <c r="T115" s="420"/>
    </row>
    <row r="116" spans="3:20" x14ac:dyDescent="0.3">
      <c r="C116" s="411"/>
      <c r="D116" s="411"/>
      <c r="E116" s="411"/>
      <c r="F116" s="411"/>
      <c r="G116" s="411"/>
      <c r="H116" s="411"/>
      <c r="M116" s="396"/>
      <c r="N116" s="423"/>
      <c r="O116" s="423"/>
      <c r="P116" s="423"/>
      <c r="Q116" s="423"/>
      <c r="S116" s="420"/>
      <c r="T116" s="420"/>
    </row>
    <row r="117" spans="3:20" ht="15" customHeight="1" x14ac:dyDescent="0.3">
      <c r="C117" s="411"/>
      <c r="D117" s="411"/>
      <c r="E117" s="411"/>
      <c r="F117" s="411"/>
      <c r="G117" s="411"/>
      <c r="H117" s="411"/>
      <c r="M117" s="396"/>
      <c r="N117" s="423"/>
      <c r="O117" s="423"/>
      <c r="P117" s="423"/>
      <c r="Q117" s="423"/>
      <c r="S117" s="420"/>
      <c r="T117" s="420"/>
    </row>
    <row r="118" spans="3:20" x14ac:dyDescent="0.3">
      <c r="C118" s="411"/>
      <c r="D118" s="411"/>
      <c r="E118" s="411"/>
      <c r="F118" s="411"/>
      <c r="G118" s="411"/>
      <c r="H118" s="411"/>
      <c r="M118" s="396"/>
      <c r="N118" s="423"/>
      <c r="O118" s="423"/>
      <c r="P118" s="423"/>
      <c r="Q118" s="423"/>
      <c r="S118" s="420"/>
      <c r="T118" s="420"/>
    </row>
    <row r="119" spans="3:20" ht="15" customHeight="1" x14ac:dyDescent="0.3">
      <c r="C119" s="411"/>
      <c r="D119" s="411"/>
      <c r="E119" s="411"/>
      <c r="F119" s="411"/>
      <c r="G119" s="411"/>
      <c r="H119" s="411"/>
      <c r="M119" s="396"/>
      <c r="N119" s="423"/>
      <c r="O119" s="423"/>
      <c r="P119" s="423"/>
      <c r="Q119" s="423"/>
      <c r="S119" s="420"/>
      <c r="T119" s="420"/>
    </row>
    <row r="120" spans="3:20" x14ac:dyDescent="0.3">
      <c r="C120" s="411"/>
      <c r="D120" s="411"/>
      <c r="E120" s="411"/>
      <c r="F120" s="411"/>
      <c r="G120" s="411"/>
      <c r="H120" s="411"/>
      <c r="M120" s="396"/>
      <c r="N120" s="423"/>
      <c r="O120" s="423"/>
      <c r="P120" s="423"/>
      <c r="Q120" s="423"/>
      <c r="S120" s="420"/>
      <c r="T120" s="420"/>
    </row>
    <row r="121" spans="3:20" ht="15" customHeight="1" x14ac:dyDescent="0.3">
      <c r="C121" s="411"/>
      <c r="D121" s="411"/>
      <c r="E121" s="411"/>
      <c r="F121" s="411"/>
      <c r="G121" s="411"/>
      <c r="H121" s="411"/>
      <c r="M121" s="396"/>
      <c r="N121" s="423"/>
      <c r="O121" s="423"/>
      <c r="P121" s="423"/>
      <c r="Q121" s="423"/>
      <c r="S121" s="420"/>
      <c r="T121" s="420"/>
    </row>
    <row r="122" spans="3:20" x14ac:dyDescent="0.3">
      <c r="C122" s="411"/>
      <c r="D122" s="411"/>
      <c r="E122" s="411"/>
      <c r="F122" s="411"/>
      <c r="G122" s="411"/>
      <c r="H122" s="411"/>
      <c r="M122" s="396"/>
      <c r="N122" s="423"/>
      <c r="O122" s="423"/>
      <c r="P122" s="423"/>
      <c r="Q122" s="423"/>
      <c r="S122" s="420"/>
      <c r="T122" s="420"/>
    </row>
    <row r="123" spans="3:20" ht="15" customHeight="1" x14ac:dyDescent="0.3">
      <c r="C123" s="411"/>
      <c r="D123" s="411"/>
      <c r="E123" s="411"/>
      <c r="F123" s="411"/>
      <c r="G123" s="411"/>
      <c r="H123" s="411"/>
      <c r="M123" s="396"/>
      <c r="N123" s="423"/>
      <c r="O123" s="423"/>
      <c r="P123" s="423"/>
      <c r="Q123" s="423"/>
      <c r="S123" s="420"/>
      <c r="T123" s="420"/>
    </row>
    <row r="124" spans="3:20" x14ac:dyDescent="0.3">
      <c r="C124" s="411"/>
      <c r="D124" s="411"/>
      <c r="E124" s="411"/>
      <c r="F124" s="411"/>
      <c r="G124" s="411"/>
      <c r="H124" s="411"/>
      <c r="M124" s="396"/>
      <c r="N124" s="423"/>
      <c r="O124" s="423"/>
      <c r="P124" s="423"/>
      <c r="Q124" s="423"/>
      <c r="S124" s="420"/>
      <c r="T124" s="420"/>
    </row>
    <row r="125" spans="3:20" ht="15" customHeight="1" x14ac:dyDescent="0.3">
      <c r="C125" s="411"/>
      <c r="D125" s="411"/>
      <c r="E125" s="411"/>
      <c r="F125" s="411"/>
      <c r="G125" s="411"/>
      <c r="H125" s="411"/>
      <c r="M125" s="396"/>
      <c r="N125" s="423"/>
      <c r="O125" s="423"/>
      <c r="P125" s="423"/>
      <c r="Q125" s="423"/>
      <c r="S125" s="420"/>
      <c r="T125" s="420"/>
    </row>
    <row r="126" spans="3:20" x14ac:dyDescent="0.3">
      <c r="C126" s="411"/>
      <c r="D126" s="411"/>
      <c r="E126" s="411"/>
      <c r="F126" s="411"/>
      <c r="G126" s="411"/>
      <c r="H126" s="411"/>
      <c r="M126" s="396"/>
      <c r="N126" s="423"/>
      <c r="O126" s="423"/>
      <c r="P126" s="423"/>
      <c r="Q126" s="423"/>
      <c r="S126" s="420"/>
      <c r="T126" s="420"/>
    </row>
    <row r="127" spans="3:20" ht="15" customHeight="1" x14ac:dyDescent="0.3">
      <c r="C127" s="411"/>
      <c r="D127" s="411"/>
      <c r="E127" s="411"/>
      <c r="F127" s="411"/>
      <c r="G127" s="411"/>
      <c r="H127" s="411"/>
      <c r="M127" s="396"/>
      <c r="N127" s="423"/>
      <c r="O127" s="423"/>
      <c r="P127" s="423"/>
      <c r="Q127" s="423"/>
      <c r="S127" s="420"/>
      <c r="T127" s="420"/>
    </row>
    <row r="128" spans="3:20" x14ac:dyDescent="0.3">
      <c r="C128" s="411"/>
      <c r="D128" s="411"/>
      <c r="E128" s="411"/>
      <c r="F128" s="411"/>
      <c r="G128" s="411"/>
      <c r="H128" s="411"/>
      <c r="M128" s="396"/>
      <c r="N128" s="423"/>
      <c r="O128" s="423"/>
      <c r="P128" s="423"/>
      <c r="Q128" s="423"/>
      <c r="S128" s="420"/>
      <c r="T128" s="420"/>
    </row>
    <row r="129" spans="3:20" ht="15" customHeight="1" x14ac:dyDescent="0.3">
      <c r="C129" s="411"/>
      <c r="D129" s="411"/>
      <c r="E129" s="411"/>
      <c r="F129" s="411"/>
      <c r="G129" s="411"/>
      <c r="H129" s="411"/>
      <c r="M129" s="396"/>
      <c r="N129" s="423"/>
      <c r="O129" s="423"/>
      <c r="P129" s="423"/>
      <c r="Q129" s="423"/>
      <c r="S129" s="420"/>
      <c r="T129" s="420"/>
    </row>
    <row r="130" spans="3:20" x14ac:dyDescent="0.3">
      <c r="C130" s="411"/>
      <c r="D130" s="411"/>
      <c r="E130" s="411"/>
      <c r="F130" s="411"/>
      <c r="G130" s="411"/>
      <c r="H130" s="411"/>
      <c r="M130" s="396"/>
      <c r="N130" s="423"/>
      <c r="O130" s="423"/>
      <c r="P130" s="423"/>
      <c r="Q130" s="423"/>
      <c r="S130" s="420"/>
      <c r="T130" s="420"/>
    </row>
    <row r="131" spans="3:20" ht="15" customHeight="1" x14ac:dyDescent="0.3">
      <c r="C131" s="411"/>
      <c r="D131" s="411"/>
      <c r="E131" s="411"/>
      <c r="F131" s="411"/>
      <c r="G131" s="411"/>
      <c r="H131" s="411"/>
      <c r="M131" s="396"/>
      <c r="N131" s="423"/>
      <c r="O131" s="423"/>
      <c r="P131" s="423"/>
      <c r="Q131" s="423"/>
      <c r="S131" s="420"/>
      <c r="T131" s="420"/>
    </row>
    <row r="132" spans="3:20" x14ac:dyDescent="0.3">
      <c r="C132" s="411"/>
      <c r="D132" s="411"/>
      <c r="E132" s="411"/>
      <c r="F132" s="411"/>
      <c r="G132" s="411"/>
      <c r="H132" s="411"/>
      <c r="M132" s="396"/>
      <c r="N132" s="423"/>
      <c r="O132" s="423"/>
      <c r="P132" s="423"/>
      <c r="Q132" s="423"/>
      <c r="S132" s="420"/>
      <c r="T132" s="420"/>
    </row>
    <row r="133" spans="3:20" ht="15" customHeight="1" x14ac:dyDescent="0.3">
      <c r="C133" s="411"/>
      <c r="D133" s="411"/>
      <c r="E133" s="411"/>
      <c r="F133" s="411"/>
      <c r="G133" s="411"/>
      <c r="H133" s="411"/>
      <c r="M133" s="396"/>
      <c r="N133" s="423"/>
      <c r="O133" s="423"/>
      <c r="P133" s="423"/>
      <c r="Q133" s="423"/>
      <c r="S133" s="420"/>
      <c r="T133" s="420"/>
    </row>
    <row r="134" spans="3:20" x14ac:dyDescent="0.3">
      <c r="C134" s="411"/>
      <c r="D134" s="411"/>
      <c r="E134" s="411"/>
      <c r="F134" s="411"/>
      <c r="G134" s="411"/>
      <c r="H134" s="411"/>
      <c r="M134" s="396"/>
      <c r="N134" s="423"/>
      <c r="O134" s="423"/>
      <c r="P134" s="423"/>
      <c r="Q134" s="423"/>
      <c r="S134" s="420"/>
      <c r="T134" s="420"/>
    </row>
    <row r="135" spans="3:20" ht="15" customHeight="1" x14ac:dyDescent="0.3">
      <c r="C135" s="411"/>
      <c r="D135" s="411"/>
      <c r="E135" s="411"/>
      <c r="F135" s="411"/>
      <c r="G135" s="411"/>
      <c r="H135" s="411"/>
      <c r="M135" s="396"/>
      <c r="N135" s="423"/>
      <c r="O135" s="423"/>
      <c r="P135" s="423"/>
      <c r="Q135" s="423"/>
      <c r="S135" s="420"/>
      <c r="T135" s="420"/>
    </row>
    <row r="136" spans="3:20" x14ac:dyDescent="0.3">
      <c r="C136" s="411"/>
      <c r="D136" s="411"/>
      <c r="E136" s="411"/>
      <c r="F136" s="411"/>
      <c r="G136" s="411"/>
      <c r="H136" s="411"/>
      <c r="M136" s="396"/>
      <c r="N136" s="423"/>
      <c r="O136" s="423"/>
      <c r="P136" s="423"/>
      <c r="Q136" s="423"/>
      <c r="S136" s="420"/>
      <c r="T136" s="420"/>
    </row>
    <row r="137" spans="3:20" ht="15" customHeight="1" x14ac:dyDescent="0.3">
      <c r="C137" s="411"/>
      <c r="D137" s="411"/>
      <c r="E137" s="411"/>
      <c r="F137" s="411"/>
      <c r="G137" s="411"/>
      <c r="H137" s="411"/>
      <c r="M137" s="396"/>
      <c r="N137" s="423"/>
      <c r="O137" s="423"/>
      <c r="P137" s="423"/>
      <c r="Q137" s="423"/>
      <c r="S137" s="420"/>
      <c r="T137" s="420"/>
    </row>
    <row r="138" spans="3:20" x14ac:dyDescent="0.3">
      <c r="C138" s="411"/>
      <c r="D138" s="411"/>
      <c r="E138" s="411"/>
      <c r="F138" s="411"/>
      <c r="G138" s="411"/>
      <c r="H138" s="411"/>
      <c r="M138" s="396"/>
      <c r="N138" s="423"/>
      <c r="O138" s="423"/>
      <c r="P138" s="423"/>
      <c r="Q138" s="423"/>
      <c r="S138" s="420"/>
      <c r="T138" s="420"/>
    </row>
    <row r="139" spans="3:20" ht="15" customHeight="1" x14ac:dyDescent="0.3">
      <c r="C139" s="411"/>
      <c r="D139" s="411"/>
      <c r="E139" s="411"/>
      <c r="F139" s="411"/>
      <c r="G139" s="411"/>
      <c r="H139" s="411"/>
      <c r="M139" s="396"/>
      <c r="N139" s="423"/>
      <c r="O139" s="423"/>
      <c r="P139" s="423"/>
      <c r="Q139" s="423"/>
      <c r="S139" s="420"/>
      <c r="T139" s="420"/>
    </row>
    <row r="140" spans="3:20" x14ac:dyDescent="0.3">
      <c r="C140" s="411"/>
      <c r="D140" s="411"/>
      <c r="E140" s="411"/>
      <c r="F140" s="411"/>
      <c r="G140" s="411"/>
      <c r="H140" s="411"/>
      <c r="M140" s="396"/>
      <c r="N140" s="423"/>
      <c r="O140" s="423"/>
      <c r="P140" s="423"/>
      <c r="Q140" s="423"/>
      <c r="S140" s="420"/>
      <c r="T140" s="420"/>
    </row>
    <row r="141" spans="3:20" ht="15" customHeight="1" x14ac:dyDescent="0.3">
      <c r="C141" s="411"/>
      <c r="D141" s="411"/>
      <c r="E141" s="411"/>
      <c r="F141" s="411"/>
      <c r="G141" s="411"/>
      <c r="H141" s="411"/>
      <c r="M141" s="396"/>
      <c r="N141" s="423"/>
      <c r="O141" s="423"/>
      <c r="P141" s="423"/>
      <c r="Q141" s="423"/>
      <c r="S141" s="420"/>
      <c r="T141" s="420"/>
    </row>
    <row r="142" spans="3:20" x14ac:dyDescent="0.3">
      <c r="C142" s="411"/>
      <c r="D142" s="411"/>
      <c r="E142" s="411"/>
      <c r="F142" s="411"/>
      <c r="G142" s="411"/>
      <c r="H142" s="411"/>
      <c r="M142" s="396"/>
      <c r="N142" s="423"/>
      <c r="O142" s="423"/>
      <c r="P142" s="423"/>
      <c r="Q142" s="423"/>
      <c r="S142" s="420"/>
      <c r="T142" s="420"/>
    </row>
    <row r="143" spans="3:20" ht="15" customHeight="1" x14ac:dyDescent="0.3">
      <c r="C143" s="411"/>
      <c r="D143" s="411"/>
      <c r="E143" s="411"/>
      <c r="F143" s="411"/>
      <c r="G143" s="411"/>
      <c r="H143" s="411"/>
      <c r="M143" s="396"/>
      <c r="N143" s="423"/>
      <c r="O143" s="423"/>
      <c r="P143" s="423"/>
      <c r="Q143" s="423"/>
      <c r="S143" s="420"/>
      <c r="T143" s="420"/>
    </row>
    <row r="144" spans="3:20" x14ac:dyDescent="0.3">
      <c r="C144" s="411"/>
      <c r="D144" s="411"/>
      <c r="E144" s="411"/>
      <c r="F144" s="411"/>
      <c r="G144" s="411"/>
      <c r="H144" s="411"/>
      <c r="M144" s="396"/>
      <c r="N144" s="423"/>
      <c r="O144" s="423"/>
      <c r="P144" s="423"/>
      <c r="Q144" s="423"/>
      <c r="S144" s="420"/>
      <c r="T144" s="420"/>
    </row>
    <row r="145" spans="3:20" ht="15" customHeight="1" x14ac:dyDescent="0.3">
      <c r="C145" s="411"/>
      <c r="D145" s="411"/>
      <c r="E145" s="411"/>
      <c r="F145" s="411"/>
      <c r="G145" s="411"/>
      <c r="H145" s="411"/>
      <c r="M145" s="396"/>
      <c r="N145" s="423"/>
      <c r="O145" s="423"/>
      <c r="P145" s="423"/>
      <c r="Q145" s="423"/>
      <c r="S145" s="420"/>
      <c r="T145" s="420"/>
    </row>
    <row r="146" spans="3:20" x14ac:dyDescent="0.3">
      <c r="C146" s="411"/>
      <c r="D146" s="411"/>
      <c r="E146" s="411"/>
      <c r="F146" s="411"/>
      <c r="G146" s="411"/>
      <c r="H146" s="411"/>
      <c r="M146" s="396"/>
      <c r="N146" s="423"/>
      <c r="O146" s="423"/>
      <c r="P146" s="423"/>
      <c r="Q146" s="423"/>
      <c r="S146" s="420"/>
      <c r="T146" s="420"/>
    </row>
    <row r="147" spans="3:20" ht="15" customHeight="1" x14ac:dyDescent="0.3">
      <c r="C147" s="411"/>
      <c r="D147" s="411"/>
      <c r="E147" s="411"/>
      <c r="F147" s="411"/>
      <c r="G147" s="411"/>
      <c r="H147" s="411"/>
      <c r="M147" s="396"/>
      <c r="N147" s="423"/>
      <c r="O147" s="423"/>
      <c r="P147" s="423"/>
      <c r="Q147" s="423"/>
      <c r="S147" s="420"/>
      <c r="T147" s="420"/>
    </row>
    <row r="148" spans="3:20" x14ac:dyDescent="0.3">
      <c r="C148" s="411"/>
      <c r="D148" s="411"/>
      <c r="E148" s="411"/>
      <c r="F148" s="411"/>
      <c r="G148" s="411"/>
      <c r="H148" s="411"/>
      <c r="M148" s="396"/>
      <c r="N148" s="423"/>
      <c r="O148" s="423"/>
      <c r="P148" s="423"/>
      <c r="Q148" s="423"/>
      <c r="S148" s="420"/>
      <c r="T148" s="420"/>
    </row>
    <row r="149" spans="3:20" ht="15" customHeight="1" x14ac:dyDescent="0.3">
      <c r="C149" s="411"/>
      <c r="D149" s="411"/>
      <c r="E149" s="411"/>
      <c r="F149" s="411"/>
      <c r="G149" s="411"/>
      <c r="H149" s="411"/>
      <c r="M149" s="396"/>
      <c r="N149" s="423"/>
      <c r="O149" s="423"/>
      <c r="P149" s="423"/>
      <c r="Q149" s="423"/>
      <c r="S149" s="420"/>
      <c r="T149" s="420"/>
    </row>
    <row r="150" spans="3:20" x14ac:dyDescent="0.3">
      <c r="C150" s="411"/>
      <c r="D150" s="411"/>
      <c r="E150" s="411"/>
      <c r="F150" s="411"/>
      <c r="G150" s="411"/>
      <c r="H150" s="411"/>
      <c r="M150" s="396"/>
      <c r="N150" s="423"/>
      <c r="O150" s="423"/>
      <c r="P150" s="423"/>
      <c r="Q150" s="423"/>
      <c r="S150" s="420"/>
      <c r="T150" s="420"/>
    </row>
    <row r="151" spans="3:20" ht="15" customHeight="1" x14ac:dyDescent="0.3">
      <c r="C151" s="411"/>
      <c r="D151" s="411"/>
      <c r="E151" s="411"/>
      <c r="F151" s="411"/>
      <c r="G151" s="411"/>
      <c r="H151" s="411"/>
      <c r="M151" s="396"/>
      <c r="N151" s="423"/>
      <c r="O151" s="423"/>
      <c r="P151" s="423"/>
      <c r="Q151" s="423"/>
      <c r="S151" s="420"/>
      <c r="T151" s="420"/>
    </row>
    <row r="152" spans="3:20" x14ac:dyDescent="0.3">
      <c r="C152" s="411"/>
      <c r="D152" s="411"/>
      <c r="E152" s="411"/>
      <c r="F152" s="411"/>
      <c r="G152" s="411"/>
      <c r="H152" s="411"/>
      <c r="M152" s="396"/>
      <c r="N152" s="423"/>
      <c r="O152" s="423"/>
      <c r="P152" s="423"/>
      <c r="Q152" s="423"/>
      <c r="S152" s="420"/>
      <c r="T152" s="420"/>
    </row>
    <row r="153" spans="3:20" ht="15" customHeight="1" x14ac:dyDescent="0.3">
      <c r="C153" s="411"/>
      <c r="D153" s="411"/>
      <c r="E153" s="411"/>
      <c r="F153" s="411"/>
      <c r="G153" s="411"/>
      <c r="H153" s="411"/>
      <c r="M153" s="396"/>
      <c r="N153" s="423"/>
      <c r="O153" s="423"/>
      <c r="P153" s="423"/>
      <c r="Q153" s="423"/>
      <c r="S153" s="420"/>
      <c r="T153" s="420"/>
    </row>
    <row r="154" spans="3:20" x14ac:dyDescent="0.3">
      <c r="C154" s="411"/>
      <c r="D154" s="411"/>
      <c r="E154" s="411"/>
      <c r="F154" s="411"/>
      <c r="G154" s="411"/>
      <c r="H154" s="411"/>
      <c r="M154" s="396"/>
      <c r="N154" s="423"/>
      <c r="O154" s="423"/>
      <c r="P154" s="423"/>
      <c r="Q154" s="423"/>
      <c r="S154" s="420"/>
      <c r="T154" s="420"/>
    </row>
    <row r="155" spans="3:20" ht="15" customHeight="1" x14ac:dyDescent="0.3">
      <c r="C155" s="411"/>
      <c r="D155" s="411"/>
      <c r="E155" s="411"/>
      <c r="F155" s="411"/>
      <c r="G155" s="411"/>
      <c r="H155" s="411"/>
      <c r="M155" s="396"/>
      <c r="N155" s="423"/>
      <c r="O155" s="423"/>
      <c r="P155" s="423"/>
      <c r="Q155" s="423"/>
      <c r="S155" s="420"/>
      <c r="T155" s="420"/>
    </row>
    <row r="156" spans="3:20" x14ac:dyDescent="0.3">
      <c r="C156" s="411"/>
      <c r="D156" s="411"/>
      <c r="E156" s="411"/>
      <c r="F156" s="411"/>
      <c r="G156" s="411"/>
      <c r="H156" s="411"/>
      <c r="M156" s="396"/>
      <c r="N156" s="423"/>
      <c r="O156" s="423"/>
      <c r="P156" s="423"/>
      <c r="Q156" s="423"/>
      <c r="S156" s="420"/>
      <c r="T156" s="420"/>
    </row>
    <row r="157" spans="3:20" ht="15" customHeight="1" x14ac:dyDescent="0.3">
      <c r="C157" s="411"/>
      <c r="D157" s="411"/>
      <c r="E157" s="411"/>
      <c r="F157" s="411"/>
      <c r="G157" s="411"/>
      <c r="H157" s="411"/>
      <c r="M157" s="396"/>
      <c r="N157" s="423"/>
      <c r="O157" s="423"/>
      <c r="P157" s="423"/>
      <c r="Q157" s="423"/>
      <c r="S157" s="420"/>
      <c r="T157" s="420"/>
    </row>
    <row r="158" spans="3:20" x14ac:dyDescent="0.3">
      <c r="C158" s="411"/>
      <c r="D158" s="411"/>
      <c r="E158" s="411"/>
      <c r="F158" s="411"/>
      <c r="G158" s="411"/>
      <c r="H158" s="411"/>
      <c r="M158" s="396"/>
      <c r="N158" s="423"/>
      <c r="O158" s="423"/>
      <c r="P158" s="423"/>
      <c r="Q158" s="423"/>
      <c r="S158" s="420"/>
      <c r="T158" s="420"/>
    </row>
    <row r="159" spans="3:20" ht="15" customHeight="1" x14ac:dyDescent="0.3">
      <c r="C159" s="411"/>
      <c r="D159" s="411"/>
      <c r="E159" s="411"/>
      <c r="F159" s="411"/>
      <c r="G159" s="411"/>
      <c r="H159" s="411"/>
      <c r="M159" s="396"/>
      <c r="N159" s="423"/>
      <c r="O159" s="423"/>
      <c r="P159" s="423"/>
      <c r="Q159" s="423"/>
      <c r="S159" s="420"/>
      <c r="T159" s="420"/>
    </row>
    <row r="160" spans="3:20" x14ac:dyDescent="0.3">
      <c r="C160" s="411"/>
      <c r="D160" s="411"/>
      <c r="E160" s="411"/>
      <c r="F160" s="411"/>
      <c r="G160" s="411"/>
      <c r="H160" s="411"/>
      <c r="M160" s="396"/>
      <c r="N160" s="423"/>
      <c r="O160" s="423"/>
      <c r="P160" s="423"/>
      <c r="Q160" s="423"/>
      <c r="S160" s="420"/>
      <c r="T160" s="420"/>
    </row>
    <row r="161" spans="3:20" ht="15" customHeight="1" x14ac:dyDescent="0.3">
      <c r="C161" s="411"/>
      <c r="D161" s="411"/>
      <c r="E161" s="411"/>
      <c r="F161" s="411"/>
      <c r="G161" s="411"/>
      <c r="H161" s="411"/>
      <c r="M161" s="396"/>
      <c r="N161" s="423"/>
      <c r="O161" s="423"/>
      <c r="P161" s="423"/>
      <c r="Q161" s="423"/>
      <c r="S161" s="420"/>
      <c r="T161" s="420"/>
    </row>
    <row r="162" spans="3:20" x14ac:dyDescent="0.3">
      <c r="C162" s="411"/>
      <c r="D162" s="411"/>
      <c r="E162" s="411"/>
      <c r="F162" s="411"/>
      <c r="G162" s="411"/>
      <c r="H162" s="411"/>
      <c r="M162" s="396"/>
      <c r="N162" s="423"/>
      <c r="O162" s="423"/>
      <c r="P162" s="423"/>
      <c r="Q162" s="423"/>
      <c r="S162" s="420"/>
      <c r="T162" s="420"/>
    </row>
    <row r="163" spans="3:20" ht="15" customHeight="1" x14ac:dyDescent="0.3">
      <c r="C163" s="411"/>
      <c r="D163" s="411"/>
      <c r="E163" s="411"/>
      <c r="F163" s="411"/>
      <c r="G163" s="411"/>
      <c r="H163" s="411"/>
      <c r="M163" s="396"/>
      <c r="N163" s="423"/>
      <c r="O163" s="423"/>
      <c r="P163" s="423"/>
      <c r="Q163" s="423"/>
      <c r="S163" s="420"/>
      <c r="T163" s="420"/>
    </row>
    <row r="164" spans="3:20" x14ac:dyDescent="0.3">
      <c r="C164" s="411"/>
      <c r="D164" s="411"/>
      <c r="E164" s="411"/>
      <c r="F164" s="411"/>
      <c r="G164" s="411"/>
      <c r="H164" s="411"/>
      <c r="M164" s="396"/>
      <c r="N164" s="423"/>
      <c r="O164" s="423"/>
      <c r="P164" s="423"/>
      <c r="Q164" s="423"/>
      <c r="S164" s="420"/>
      <c r="T164" s="420"/>
    </row>
    <row r="165" spans="3:20" ht="15" customHeight="1" x14ac:dyDescent="0.3">
      <c r="C165" s="411"/>
      <c r="D165" s="411"/>
      <c r="E165" s="411"/>
      <c r="F165" s="411"/>
      <c r="G165" s="411"/>
      <c r="H165" s="411"/>
      <c r="M165" s="396"/>
      <c r="N165" s="423"/>
      <c r="O165" s="423"/>
      <c r="P165" s="423"/>
      <c r="Q165" s="423"/>
      <c r="S165" s="420"/>
      <c r="T165" s="420"/>
    </row>
    <row r="166" spans="3:20" x14ac:dyDescent="0.3">
      <c r="C166" s="411"/>
      <c r="D166" s="411"/>
      <c r="E166" s="411"/>
      <c r="F166" s="411"/>
      <c r="G166" s="411"/>
      <c r="H166" s="411"/>
      <c r="M166" s="396"/>
      <c r="N166" s="423"/>
      <c r="O166" s="423"/>
      <c r="P166" s="423"/>
      <c r="Q166" s="423"/>
      <c r="S166" s="420"/>
      <c r="T166" s="420"/>
    </row>
    <row r="167" spans="3:20" ht="15" customHeight="1" x14ac:dyDescent="0.3">
      <c r="C167" s="411"/>
      <c r="D167" s="411"/>
      <c r="E167" s="411"/>
      <c r="F167" s="411"/>
      <c r="G167" s="411"/>
      <c r="H167" s="411"/>
      <c r="M167" s="396"/>
      <c r="N167" s="423"/>
      <c r="O167" s="423"/>
      <c r="P167" s="423"/>
      <c r="Q167" s="423"/>
      <c r="S167" s="420"/>
      <c r="T167" s="420"/>
    </row>
    <row r="168" spans="3:20" x14ac:dyDescent="0.3">
      <c r="C168" s="411"/>
      <c r="D168" s="411"/>
      <c r="E168" s="411"/>
      <c r="F168" s="411"/>
      <c r="G168" s="411"/>
      <c r="H168" s="411"/>
      <c r="M168" s="396"/>
      <c r="N168" s="423"/>
      <c r="O168" s="423"/>
      <c r="P168" s="423"/>
      <c r="Q168" s="423"/>
      <c r="S168" s="420"/>
      <c r="T168" s="420"/>
    </row>
    <row r="169" spans="3:20" ht="15" customHeight="1" x14ac:dyDescent="0.3">
      <c r="C169" s="411"/>
      <c r="D169" s="411"/>
      <c r="E169" s="411"/>
      <c r="F169" s="411"/>
      <c r="G169" s="411"/>
      <c r="H169" s="411"/>
      <c r="M169" s="396"/>
      <c r="N169" s="423"/>
      <c r="O169" s="423"/>
      <c r="P169" s="423"/>
      <c r="Q169" s="423"/>
      <c r="S169" s="420"/>
      <c r="T169" s="420"/>
    </row>
    <row r="170" spans="3:20" x14ac:dyDescent="0.3">
      <c r="C170" s="411"/>
      <c r="D170" s="411"/>
      <c r="E170" s="411"/>
      <c r="F170" s="411"/>
      <c r="G170" s="411"/>
      <c r="H170" s="411"/>
      <c r="M170" s="396"/>
      <c r="N170" s="423"/>
      <c r="O170" s="423"/>
      <c r="P170" s="423"/>
      <c r="Q170" s="423"/>
      <c r="S170" s="420"/>
      <c r="T170" s="420"/>
    </row>
    <row r="171" spans="3:20" ht="15" customHeight="1" x14ac:dyDescent="0.3">
      <c r="C171" s="411"/>
      <c r="D171" s="411"/>
      <c r="E171" s="411"/>
      <c r="F171" s="411"/>
      <c r="G171" s="411"/>
      <c r="H171" s="411"/>
      <c r="M171" s="396"/>
      <c r="N171" s="423"/>
      <c r="O171" s="423"/>
      <c r="P171" s="423"/>
      <c r="Q171" s="423"/>
      <c r="S171" s="420"/>
      <c r="T171" s="420"/>
    </row>
    <row r="172" spans="3:20" x14ac:dyDescent="0.3">
      <c r="C172" s="411"/>
      <c r="D172" s="411"/>
      <c r="E172" s="411"/>
      <c r="F172" s="411"/>
      <c r="G172" s="411"/>
      <c r="H172" s="411"/>
      <c r="M172" s="396"/>
      <c r="N172" s="423"/>
      <c r="O172" s="423"/>
      <c r="P172" s="423"/>
      <c r="Q172" s="423"/>
      <c r="S172" s="420"/>
      <c r="T172" s="420"/>
    </row>
    <row r="173" spans="3:20" ht="15" customHeight="1" x14ac:dyDescent="0.3">
      <c r="C173" s="411"/>
      <c r="D173" s="411"/>
      <c r="E173" s="411"/>
      <c r="F173" s="411"/>
      <c r="G173" s="411"/>
      <c r="H173" s="411"/>
      <c r="M173" s="396"/>
      <c r="N173" s="423"/>
      <c r="O173" s="423"/>
      <c r="P173" s="423"/>
      <c r="Q173" s="423"/>
      <c r="S173" s="420"/>
      <c r="T173" s="420"/>
    </row>
    <row r="174" spans="3:20" x14ac:dyDescent="0.3">
      <c r="C174" s="411"/>
      <c r="D174" s="411"/>
      <c r="E174" s="411"/>
      <c r="F174" s="411"/>
      <c r="G174" s="411"/>
      <c r="H174" s="411"/>
      <c r="M174" s="396"/>
      <c r="N174" s="423"/>
      <c r="O174" s="423"/>
      <c r="P174" s="423"/>
      <c r="Q174" s="423"/>
      <c r="S174" s="420"/>
      <c r="T174" s="420"/>
    </row>
    <row r="175" spans="3:20" ht="15" customHeight="1" x14ac:dyDescent="0.3">
      <c r="C175" s="411"/>
      <c r="D175" s="411"/>
      <c r="E175" s="411"/>
      <c r="F175" s="411"/>
      <c r="G175" s="411"/>
      <c r="H175" s="411"/>
      <c r="M175" s="396"/>
      <c r="N175" s="423"/>
      <c r="O175" s="423"/>
      <c r="P175" s="423"/>
      <c r="Q175" s="423"/>
      <c r="S175" s="420"/>
      <c r="T175" s="420"/>
    </row>
    <row r="176" spans="3:20" x14ac:dyDescent="0.3">
      <c r="C176" s="411"/>
      <c r="D176" s="411"/>
      <c r="E176" s="411"/>
      <c r="F176" s="411"/>
      <c r="G176" s="411"/>
      <c r="H176" s="411"/>
      <c r="M176" s="396"/>
      <c r="N176" s="423"/>
      <c r="O176" s="423"/>
      <c r="P176" s="423"/>
      <c r="Q176" s="423"/>
      <c r="S176" s="420"/>
      <c r="T176" s="420"/>
    </row>
    <row r="177" spans="3:20" ht="15" customHeight="1" x14ac:dyDescent="0.3">
      <c r="C177" s="411"/>
      <c r="D177" s="411"/>
      <c r="E177" s="411"/>
      <c r="F177" s="411"/>
      <c r="G177" s="411"/>
      <c r="H177" s="411"/>
      <c r="M177" s="396"/>
      <c r="N177" s="423"/>
      <c r="O177" s="423"/>
      <c r="P177" s="423"/>
      <c r="Q177" s="423"/>
      <c r="S177" s="420"/>
      <c r="T177" s="420"/>
    </row>
    <row r="178" spans="3:20" x14ac:dyDescent="0.3">
      <c r="C178" s="411"/>
      <c r="D178" s="411"/>
      <c r="E178" s="411"/>
      <c r="F178" s="411"/>
      <c r="G178" s="411"/>
      <c r="H178" s="411"/>
      <c r="M178" s="396"/>
      <c r="N178" s="423"/>
      <c r="O178" s="423"/>
      <c r="P178" s="423"/>
      <c r="Q178" s="423"/>
      <c r="S178" s="420"/>
      <c r="T178" s="420"/>
    </row>
    <row r="179" spans="3:20" ht="15" customHeight="1" x14ac:dyDescent="0.3">
      <c r="C179" s="411"/>
      <c r="D179" s="411"/>
      <c r="E179" s="411"/>
      <c r="F179" s="411"/>
      <c r="G179" s="411"/>
      <c r="H179" s="411"/>
      <c r="M179" s="396"/>
      <c r="N179" s="423"/>
      <c r="O179" s="423"/>
      <c r="P179" s="423"/>
      <c r="Q179" s="423"/>
      <c r="S179" s="420"/>
      <c r="T179" s="420"/>
    </row>
    <row r="180" spans="3:20" x14ac:dyDescent="0.3">
      <c r="C180" s="411"/>
      <c r="D180" s="411"/>
      <c r="E180" s="411"/>
      <c r="F180" s="411"/>
      <c r="G180" s="411"/>
      <c r="H180" s="411"/>
      <c r="M180" s="396"/>
      <c r="N180" s="423"/>
      <c r="O180" s="423"/>
      <c r="P180" s="423"/>
      <c r="Q180" s="423"/>
      <c r="S180" s="420"/>
      <c r="T180" s="420"/>
    </row>
    <row r="181" spans="3:20" ht="15" customHeight="1" x14ac:dyDescent="0.3">
      <c r="C181" s="411"/>
      <c r="D181" s="411"/>
      <c r="E181" s="411"/>
      <c r="F181" s="411"/>
      <c r="G181" s="411"/>
      <c r="H181" s="411"/>
      <c r="M181" s="396"/>
      <c r="N181" s="423"/>
      <c r="O181" s="423"/>
      <c r="P181" s="423"/>
      <c r="Q181" s="423"/>
      <c r="S181" s="420"/>
      <c r="T181" s="420"/>
    </row>
    <row r="182" spans="3:20" x14ac:dyDescent="0.3">
      <c r="C182" s="411"/>
      <c r="D182" s="411"/>
      <c r="E182" s="411"/>
      <c r="F182" s="411"/>
      <c r="G182" s="411"/>
      <c r="H182" s="411"/>
      <c r="M182" s="396"/>
      <c r="N182" s="423"/>
      <c r="O182" s="423"/>
      <c r="P182" s="423"/>
      <c r="Q182" s="423"/>
      <c r="S182" s="420"/>
      <c r="T182" s="420"/>
    </row>
    <row r="183" spans="3:20" ht="15" customHeight="1" x14ac:dyDescent="0.3">
      <c r="C183" s="411"/>
      <c r="D183" s="411"/>
      <c r="E183" s="411"/>
      <c r="F183" s="411"/>
      <c r="G183" s="411"/>
      <c r="H183" s="411"/>
      <c r="M183" s="396"/>
      <c r="N183" s="423"/>
      <c r="O183" s="423"/>
      <c r="P183" s="423"/>
      <c r="Q183" s="423"/>
      <c r="S183" s="420"/>
      <c r="T183" s="420"/>
    </row>
    <row r="184" spans="3:20" x14ac:dyDescent="0.3">
      <c r="C184" s="411"/>
      <c r="D184" s="411"/>
      <c r="E184" s="411"/>
      <c r="F184" s="411"/>
      <c r="G184" s="411"/>
      <c r="H184" s="411"/>
      <c r="M184" s="396"/>
      <c r="N184" s="423"/>
      <c r="O184" s="423"/>
      <c r="P184" s="423"/>
      <c r="Q184" s="423"/>
      <c r="S184" s="420"/>
      <c r="T184" s="420"/>
    </row>
    <row r="185" spans="3:20" ht="15" customHeight="1" x14ac:dyDescent="0.3">
      <c r="C185" s="411"/>
      <c r="D185" s="411"/>
      <c r="E185" s="411"/>
      <c r="F185" s="411"/>
      <c r="G185" s="411"/>
      <c r="H185" s="411"/>
      <c r="M185" s="396"/>
      <c r="N185" s="423"/>
      <c r="O185" s="423"/>
      <c r="P185" s="423"/>
      <c r="Q185" s="423"/>
      <c r="S185" s="420"/>
      <c r="T185" s="420"/>
    </row>
    <row r="186" spans="3:20" x14ac:dyDescent="0.3">
      <c r="C186" s="411"/>
      <c r="D186" s="411"/>
      <c r="E186" s="411"/>
      <c r="F186" s="411"/>
      <c r="G186" s="411"/>
      <c r="H186" s="411"/>
      <c r="M186" s="396"/>
      <c r="N186" s="423"/>
      <c r="O186" s="423"/>
      <c r="P186" s="423"/>
      <c r="Q186" s="423"/>
      <c r="S186" s="420"/>
      <c r="T186" s="420"/>
    </row>
    <row r="187" spans="3:20" ht="15" customHeight="1" x14ac:dyDescent="0.3">
      <c r="C187" s="411"/>
      <c r="D187" s="411"/>
      <c r="E187" s="411"/>
      <c r="F187" s="411"/>
      <c r="G187" s="411"/>
      <c r="H187" s="411"/>
      <c r="M187" s="396"/>
      <c r="N187" s="423"/>
      <c r="O187" s="423"/>
      <c r="P187" s="423"/>
      <c r="Q187" s="423"/>
      <c r="S187" s="420"/>
      <c r="T187" s="420"/>
    </row>
    <row r="188" spans="3:20" x14ac:dyDescent="0.3">
      <c r="C188" s="411"/>
      <c r="D188" s="411"/>
      <c r="E188" s="411"/>
      <c r="F188" s="411"/>
      <c r="G188" s="411"/>
      <c r="H188" s="411"/>
      <c r="M188" s="396"/>
      <c r="N188" s="423"/>
      <c r="O188" s="423"/>
      <c r="P188" s="423"/>
      <c r="Q188" s="423"/>
      <c r="S188" s="420"/>
      <c r="T188" s="420"/>
    </row>
    <row r="189" spans="3:20" ht="15" customHeight="1" x14ac:dyDescent="0.3">
      <c r="C189" s="411"/>
      <c r="D189" s="411"/>
      <c r="E189" s="411"/>
      <c r="F189" s="411"/>
      <c r="G189" s="411"/>
      <c r="H189" s="411"/>
      <c r="M189" s="396"/>
      <c r="N189" s="423"/>
      <c r="O189" s="423"/>
      <c r="P189" s="423"/>
      <c r="Q189" s="423"/>
      <c r="S189" s="420"/>
      <c r="T189" s="420"/>
    </row>
    <row r="190" spans="3:20" x14ac:dyDescent="0.3">
      <c r="C190" s="411"/>
      <c r="D190" s="411"/>
      <c r="E190" s="411"/>
      <c r="F190" s="411"/>
      <c r="G190" s="411"/>
      <c r="H190" s="411"/>
      <c r="M190" s="396"/>
      <c r="N190" s="423"/>
      <c r="O190" s="423"/>
      <c r="P190" s="423"/>
      <c r="Q190" s="423"/>
      <c r="S190" s="420"/>
      <c r="T190" s="420"/>
    </row>
    <row r="191" spans="3:20" ht="15" customHeight="1" x14ac:dyDescent="0.3">
      <c r="C191" s="411"/>
      <c r="D191" s="411"/>
      <c r="E191" s="411"/>
      <c r="F191" s="411"/>
      <c r="G191" s="411"/>
      <c r="H191" s="411"/>
      <c r="M191" s="396"/>
      <c r="N191" s="423"/>
      <c r="O191" s="423"/>
      <c r="P191" s="423"/>
      <c r="Q191" s="423"/>
      <c r="S191" s="420"/>
      <c r="T191" s="420"/>
    </row>
    <row r="192" spans="3:20" x14ac:dyDescent="0.3">
      <c r="C192" s="411"/>
      <c r="D192" s="411"/>
      <c r="E192" s="411"/>
      <c r="F192" s="411"/>
      <c r="G192" s="411"/>
      <c r="H192" s="411"/>
      <c r="M192" s="396"/>
      <c r="N192" s="423"/>
      <c r="O192" s="423"/>
      <c r="P192" s="423"/>
      <c r="Q192" s="423"/>
      <c r="S192" s="420"/>
      <c r="T192" s="420"/>
    </row>
    <row r="193" spans="3:20" ht="15" customHeight="1" x14ac:dyDescent="0.3">
      <c r="C193" s="411"/>
      <c r="D193" s="411"/>
      <c r="E193" s="411"/>
      <c r="F193" s="411"/>
      <c r="G193" s="411"/>
      <c r="H193" s="411"/>
      <c r="M193" s="396"/>
      <c r="N193" s="423"/>
      <c r="O193" s="423"/>
      <c r="P193" s="423"/>
      <c r="Q193" s="423"/>
      <c r="S193" s="420"/>
      <c r="T193" s="420"/>
    </row>
    <row r="194" spans="3:20" x14ac:dyDescent="0.3">
      <c r="C194" s="411"/>
      <c r="D194" s="411"/>
      <c r="E194" s="411"/>
      <c r="F194" s="411"/>
      <c r="G194" s="411"/>
      <c r="H194" s="411"/>
      <c r="M194" s="396"/>
      <c r="N194" s="423"/>
      <c r="O194" s="423"/>
      <c r="P194" s="423"/>
      <c r="Q194" s="423"/>
      <c r="S194" s="420"/>
      <c r="T194" s="420"/>
    </row>
    <row r="195" spans="3:20" ht="15" customHeight="1" x14ac:dyDescent="0.3">
      <c r="C195" s="411"/>
      <c r="D195" s="411"/>
      <c r="E195" s="411"/>
      <c r="F195" s="411"/>
      <c r="G195" s="411"/>
      <c r="H195" s="411"/>
      <c r="M195" s="396"/>
      <c r="N195" s="423"/>
      <c r="O195" s="423"/>
      <c r="P195" s="423"/>
      <c r="Q195" s="423"/>
      <c r="S195" s="420"/>
      <c r="T195" s="420"/>
    </row>
    <row r="196" spans="3:20" x14ac:dyDescent="0.3">
      <c r="C196" s="411"/>
      <c r="D196" s="411"/>
      <c r="E196" s="411"/>
      <c r="F196" s="411"/>
      <c r="G196" s="411"/>
      <c r="H196" s="411"/>
      <c r="M196" s="396"/>
      <c r="N196" s="423"/>
      <c r="O196" s="423"/>
      <c r="P196" s="423"/>
      <c r="Q196" s="423"/>
      <c r="S196" s="420"/>
      <c r="T196" s="420"/>
    </row>
    <row r="197" spans="3:20" ht="15" customHeight="1" x14ac:dyDescent="0.3">
      <c r="C197" s="411"/>
      <c r="D197" s="411"/>
      <c r="E197" s="411"/>
      <c r="F197" s="411"/>
      <c r="G197" s="411"/>
      <c r="H197" s="411"/>
      <c r="M197" s="396"/>
      <c r="N197" s="423"/>
      <c r="O197" s="423"/>
      <c r="P197" s="423"/>
      <c r="Q197" s="423"/>
      <c r="S197" s="420"/>
      <c r="T197" s="420"/>
    </row>
    <row r="198" spans="3:20" x14ac:dyDescent="0.3">
      <c r="C198" s="411"/>
      <c r="D198" s="411"/>
      <c r="E198" s="411"/>
      <c r="F198" s="411"/>
      <c r="G198" s="411"/>
      <c r="H198" s="411"/>
      <c r="M198" s="396"/>
      <c r="N198" s="423"/>
      <c r="O198" s="423"/>
      <c r="P198" s="423"/>
      <c r="Q198" s="423"/>
      <c r="S198" s="420"/>
      <c r="T198" s="420"/>
    </row>
    <row r="199" spans="3:20" ht="15" customHeight="1" x14ac:dyDescent="0.3">
      <c r="C199" s="411"/>
      <c r="D199" s="411"/>
      <c r="E199" s="411"/>
      <c r="F199" s="411"/>
      <c r="G199" s="411"/>
      <c r="H199" s="411"/>
      <c r="M199" s="396"/>
      <c r="N199" s="423"/>
      <c r="O199" s="423"/>
      <c r="P199" s="423"/>
      <c r="Q199" s="423"/>
      <c r="S199" s="420"/>
      <c r="T199" s="420"/>
    </row>
    <row r="200" spans="3:20" x14ac:dyDescent="0.3">
      <c r="C200" s="411"/>
      <c r="D200" s="411"/>
      <c r="E200" s="411"/>
      <c r="F200" s="411"/>
      <c r="G200" s="411"/>
      <c r="H200" s="411"/>
      <c r="M200" s="396"/>
      <c r="N200" s="423"/>
      <c r="O200" s="423"/>
      <c r="P200" s="423"/>
      <c r="Q200" s="423"/>
      <c r="S200" s="420"/>
      <c r="T200" s="420"/>
    </row>
    <row r="201" spans="3:20" ht="15" customHeight="1" x14ac:dyDescent="0.3">
      <c r="C201" s="411"/>
      <c r="D201" s="411"/>
      <c r="E201" s="411"/>
      <c r="F201" s="411"/>
      <c r="G201" s="411"/>
      <c r="H201" s="411"/>
      <c r="M201" s="396"/>
      <c r="N201" s="423"/>
      <c r="O201" s="423"/>
      <c r="P201" s="423"/>
      <c r="Q201" s="423"/>
      <c r="S201" s="420"/>
      <c r="T201" s="420"/>
    </row>
    <row r="202" spans="3:20" x14ac:dyDescent="0.3">
      <c r="C202" s="411"/>
      <c r="D202" s="411"/>
      <c r="E202" s="411"/>
      <c r="F202" s="411"/>
      <c r="G202" s="411"/>
      <c r="H202" s="411"/>
      <c r="M202" s="396"/>
      <c r="N202" s="423"/>
      <c r="O202" s="423"/>
      <c r="P202" s="423"/>
      <c r="Q202" s="423"/>
      <c r="S202" s="420"/>
      <c r="T202" s="420"/>
    </row>
    <row r="203" spans="3:20" ht="15" customHeight="1" x14ac:dyDescent="0.3">
      <c r="C203" s="411"/>
      <c r="D203" s="411"/>
      <c r="E203" s="411"/>
      <c r="F203" s="411"/>
      <c r="G203" s="411"/>
      <c r="H203" s="411"/>
      <c r="M203" s="396"/>
      <c r="N203" s="423"/>
      <c r="O203" s="423"/>
      <c r="P203" s="423"/>
      <c r="Q203" s="423"/>
      <c r="S203" s="420"/>
      <c r="T203" s="420"/>
    </row>
    <row r="204" spans="3:20" x14ac:dyDescent="0.3">
      <c r="C204" s="411"/>
      <c r="D204" s="411"/>
      <c r="E204" s="411"/>
      <c r="F204" s="411"/>
      <c r="G204" s="411"/>
      <c r="H204" s="411"/>
      <c r="M204" s="396"/>
      <c r="N204" s="423"/>
      <c r="O204" s="423"/>
      <c r="P204" s="423"/>
      <c r="Q204" s="423"/>
      <c r="S204" s="420"/>
      <c r="T204" s="420"/>
    </row>
    <row r="205" spans="3:20" ht="15" customHeight="1" x14ac:dyDescent="0.3">
      <c r="C205" s="411"/>
      <c r="D205" s="411"/>
      <c r="E205" s="411"/>
      <c r="F205" s="411"/>
      <c r="G205" s="411"/>
      <c r="H205" s="411"/>
      <c r="M205" s="396"/>
      <c r="N205" s="423"/>
      <c r="O205" s="423"/>
      <c r="P205" s="423"/>
      <c r="Q205" s="423"/>
      <c r="S205" s="420"/>
      <c r="T205" s="420"/>
    </row>
    <row r="206" spans="3:20" x14ac:dyDescent="0.3">
      <c r="C206" s="411"/>
      <c r="D206" s="411"/>
      <c r="E206" s="411"/>
      <c r="F206" s="411"/>
      <c r="G206" s="411"/>
      <c r="H206" s="411"/>
      <c r="M206" s="396"/>
      <c r="N206" s="423"/>
      <c r="O206" s="423"/>
      <c r="P206" s="423"/>
      <c r="Q206" s="423"/>
      <c r="S206" s="420"/>
      <c r="T206" s="420"/>
    </row>
    <row r="207" spans="3:20" ht="15" customHeight="1" x14ac:dyDescent="0.3">
      <c r="C207" s="411"/>
      <c r="D207" s="411"/>
      <c r="E207" s="411"/>
      <c r="F207" s="411"/>
      <c r="G207" s="411"/>
      <c r="H207" s="411"/>
      <c r="M207" s="396"/>
      <c r="N207" s="423"/>
      <c r="O207" s="423"/>
      <c r="P207" s="423"/>
      <c r="Q207" s="423"/>
      <c r="S207" s="420"/>
      <c r="T207" s="420"/>
    </row>
    <row r="208" spans="3:20" x14ac:dyDescent="0.3">
      <c r="C208" s="411"/>
      <c r="D208" s="411"/>
      <c r="E208" s="411"/>
      <c r="F208" s="411"/>
      <c r="G208" s="411"/>
      <c r="H208" s="411"/>
      <c r="M208" s="396"/>
      <c r="N208" s="423"/>
      <c r="O208" s="423"/>
      <c r="P208" s="423"/>
      <c r="Q208" s="423"/>
      <c r="S208" s="420"/>
      <c r="T208" s="420"/>
    </row>
    <row r="209" spans="3:20" ht="15" customHeight="1" x14ac:dyDescent="0.3">
      <c r="C209" s="411"/>
      <c r="D209" s="411"/>
      <c r="E209" s="411"/>
      <c r="F209" s="411"/>
      <c r="G209" s="411"/>
      <c r="H209" s="411"/>
      <c r="M209" s="396"/>
      <c r="N209" s="423"/>
      <c r="O209" s="423"/>
      <c r="P209" s="423"/>
      <c r="Q209" s="423"/>
      <c r="S209" s="420"/>
      <c r="T209" s="420"/>
    </row>
    <row r="210" spans="3:20" x14ac:dyDescent="0.3">
      <c r="C210" s="411"/>
      <c r="D210" s="411"/>
      <c r="E210" s="411"/>
      <c r="F210" s="411"/>
      <c r="G210" s="411"/>
      <c r="H210" s="411"/>
      <c r="M210" s="396"/>
      <c r="N210" s="423"/>
      <c r="O210" s="423"/>
      <c r="P210" s="423"/>
      <c r="Q210" s="423"/>
      <c r="S210" s="420"/>
      <c r="T210" s="420"/>
    </row>
    <row r="211" spans="3:20" ht="15" customHeight="1" x14ac:dyDescent="0.3">
      <c r="C211" s="411"/>
      <c r="D211" s="411"/>
      <c r="E211" s="411"/>
      <c r="F211" s="411"/>
      <c r="G211" s="411"/>
      <c r="H211" s="411"/>
      <c r="M211" s="396"/>
      <c r="N211" s="423"/>
      <c r="O211" s="423"/>
      <c r="P211" s="423"/>
      <c r="Q211" s="423"/>
      <c r="S211" s="420"/>
      <c r="T211" s="420"/>
    </row>
    <row r="212" spans="3:20" x14ac:dyDescent="0.3">
      <c r="C212" s="411"/>
      <c r="D212" s="411"/>
      <c r="E212" s="411"/>
      <c r="F212" s="411"/>
      <c r="G212" s="411"/>
      <c r="H212" s="411"/>
      <c r="M212" s="396"/>
      <c r="N212" s="423"/>
      <c r="O212" s="423"/>
      <c r="P212" s="423"/>
      <c r="Q212" s="423"/>
      <c r="S212" s="420"/>
      <c r="T212" s="420"/>
    </row>
    <row r="213" spans="3:20" ht="15" customHeight="1" x14ac:dyDescent="0.3"/>
  </sheetData>
  <sheetProtection algorithmName="SHA-512" hashValue="696yCQApUXYST9G8v0JozZK+Y0ai0dKdKchDxPM0Of12RB2f90UD3fe1XQ1EmCCRNxfWlS7tAZFwCwU3iQHnXw==" saltValue="qJVKM6RTezm/j9AEHZiq9A==" spinCount="100000" sheet="1" objects="1" scenarios="1"/>
  <mergeCells count="23">
    <mergeCell ref="K6:O7"/>
    <mergeCell ref="H13:I13"/>
    <mergeCell ref="F7:G7"/>
    <mergeCell ref="H7:I7"/>
    <mergeCell ref="F8:G8"/>
    <mergeCell ref="D7:E7"/>
    <mergeCell ref="F49:H49"/>
    <mergeCell ref="I34:I35"/>
    <mergeCell ref="F50:H50"/>
    <mergeCell ref="F52:H52"/>
    <mergeCell ref="G34:G35"/>
    <mergeCell ref="H34:H35"/>
    <mergeCell ref="B17:C18"/>
    <mergeCell ref="L47:L48"/>
    <mergeCell ref="E46:H46"/>
    <mergeCell ref="E47:H47"/>
    <mergeCell ref="F48:H48"/>
    <mergeCell ref="G33:H33"/>
    <mergeCell ref="B34:B35"/>
    <mergeCell ref="C34:C35"/>
    <mergeCell ref="D34:D35"/>
    <mergeCell ref="E34:E35"/>
    <mergeCell ref="F34:F35"/>
  </mergeCells>
  <conditionalFormatting sqref="K36:K45">
    <cfRule type="expression" dxfId="35" priority="1">
      <formula>$S$48=FALSE</formula>
    </cfRule>
    <cfRule type="expression" dxfId="34" priority="2">
      <formula>$I$36:$I$45&lt;0</formula>
    </cfRule>
  </conditionalFormatting>
  <dataValidations count="3">
    <dataValidation type="list" allowBlank="1" showInputMessage="1" sqref="K36:K45" xr:uid="{44E21BD8-A913-4952-AE0D-38CC1FFDE8D4}">
      <formula1>H36</formula1>
    </dataValidation>
    <dataValidation type="custom" allowBlank="1" showInputMessage="1" showErrorMessage="1" errorTitle="Revisar captura de anticipos" error="Anticipos sobrepasan monto total" sqref="I36:I45" xr:uid="{FDBAEEAE-40B7-4B07-AC0B-DA6A7DC35991}">
      <formula1>"&lt;0"</formula1>
    </dataValidation>
    <dataValidation type="custom" allowBlank="1" showInputMessage="1" showErrorMessage="1" errorTitle="Revisar anticipos" error="Los anticipos no deben sobrepasar las cuotas del financiamiento" sqref="K48" xr:uid="{A586664F-529F-4300-97F9-A26BFB1D01C6}">
      <formula1>R48=TRUE</formula1>
    </dataValidation>
  </dataValidations>
  <printOptions horizontalCentered="1"/>
  <pageMargins left="0.23622047244094491" right="0.23622047244094491" top="0.39370078740157483" bottom="0.47244094488188981" header="0.31496062992125984" footer="0.31496062992125984"/>
  <pageSetup scale="4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419100</xdr:colOff>
                    <xdr:row>29</xdr:row>
                    <xdr:rowOff>0</xdr:rowOff>
                  </from>
                  <to>
                    <xdr:col>5</xdr:col>
                    <xdr:colOff>769620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6</xdr:col>
                    <xdr:colOff>480060</xdr:colOff>
                    <xdr:row>28</xdr:row>
                    <xdr:rowOff>182880</xdr:rowOff>
                  </from>
                  <to>
                    <xdr:col>6</xdr:col>
                    <xdr:colOff>838200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7</xdr:col>
                    <xdr:colOff>457200</xdr:colOff>
                    <xdr:row>29</xdr:row>
                    <xdr:rowOff>0</xdr:rowOff>
                  </from>
                  <to>
                    <xdr:col>7</xdr:col>
                    <xdr:colOff>822960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2</xdr:col>
                    <xdr:colOff>403860</xdr:colOff>
                    <xdr:row>29</xdr:row>
                    <xdr:rowOff>0</xdr:rowOff>
                  </from>
                  <to>
                    <xdr:col>2</xdr:col>
                    <xdr:colOff>754380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3</xdr:col>
                    <xdr:colOff>411480</xdr:colOff>
                    <xdr:row>28</xdr:row>
                    <xdr:rowOff>182880</xdr:rowOff>
                  </from>
                  <to>
                    <xdr:col>3</xdr:col>
                    <xdr:colOff>769620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10</xdr:col>
                    <xdr:colOff>373380</xdr:colOff>
                    <xdr:row>29</xdr:row>
                    <xdr:rowOff>182880</xdr:rowOff>
                  </from>
                  <to>
                    <xdr:col>10</xdr:col>
                    <xdr:colOff>762000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Option Button 7">
              <controlPr defaultSize="0" autoFill="0" autoLine="0" autoPict="0">
                <anchor moveWithCells="1">
                  <from>
                    <xdr:col>2</xdr:col>
                    <xdr:colOff>716280</xdr:colOff>
                    <xdr:row>14</xdr:row>
                    <xdr:rowOff>76200</xdr:rowOff>
                  </from>
                  <to>
                    <xdr:col>2</xdr:col>
                    <xdr:colOff>1074420</xdr:colOff>
                    <xdr:row>15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Option Button 8">
              <controlPr defaultSize="0" autoFill="0" autoLine="0" autoPict="0">
                <anchor moveWithCells="1">
                  <from>
                    <xdr:col>4</xdr:col>
                    <xdr:colOff>601980</xdr:colOff>
                    <xdr:row>14</xdr:row>
                    <xdr:rowOff>68580</xdr:rowOff>
                  </from>
                  <to>
                    <xdr:col>4</xdr:col>
                    <xdr:colOff>960120</xdr:colOff>
                    <xdr:row>15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Option Button 9">
              <controlPr defaultSize="0" autoFill="0" autoLine="0" autoPict="0">
                <anchor moveWithCells="1">
                  <from>
                    <xdr:col>7</xdr:col>
                    <xdr:colOff>213360</xdr:colOff>
                    <xdr:row>7</xdr:row>
                    <xdr:rowOff>45720</xdr:rowOff>
                  </from>
                  <to>
                    <xdr:col>7</xdr:col>
                    <xdr:colOff>922020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Option Button 10">
              <controlPr defaultSize="0" autoFill="0" autoLine="0" autoPict="0">
                <anchor moveWithCells="1">
                  <from>
                    <xdr:col>7</xdr:col>
                    <xdr:colOff>1059180</xdr:colOff>
                    <xdr:row>7</xdr:row>
                    <xdr:rowOff>38100</xdr:rowOff>
                  </from>
                  <to>
                    <xdr:col>8</xdr:col>
                    <xdr:colOff>533400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Group Box 11">
              <controlPr defaultSize="0" autoFill="0" autoPict="0">
                <anchor moveWithCells="1">
                  <from>
                    <xdr:col>7</xdr:col>
                    <xdr:colOff>0</xdr:colOff>
                    <xdr:row>6</xdr:row>
                    <xdr:rowOff>0</xdr:rowOff>
                  </from>
                  <to>
                    <xdr:col>9</xdr:col>
                    <xdr:colOff>0</xdr:colOff>
                    <xdr:row>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C14A-CB49-467F-BEB3-527857A959FB}">
  <sheetPr codeName="Hoja3">
    <pageSetUpPr fitToPage="1"/>
  </sheetPr>
  <dimension ref="A1:BY279"/>
  <sheetViews>
    <sheetView tabSelected="1" topLeftCell="A38" zoomScale="56" zoomScaleNormal="80" workbookViewId="0">
      <selection activeCell="L61" sqref="L61"/>
    </sheetView>
  </sheetViews>
  <sheetFormatPr baseColWidth="10" defaultColWidth="0" defaultRowHeight="0" customHeight="1" zeroHeight="1" x14ac:dyDescent="0.25"/>
  <cols>
    <col min="1" max="1" width="1.6640625" style="1" customWidth="1"/>
    <col min="2" max="27" width="17" style="1" customWidth="1"/>
    <col min="28" max="28" width="1.6640625" style="1" customWidth="1"/>
    <col min="29" max="30" width="17" style="134" customWidth="1"/>
    <col min="31" max="32" width="17" style="134" hidden="1" customWidth="1"/>
    <col min="33" max="33" width="5.5546875" style="1" hidden="1" customWidth="1"/>
    <col min="34" max="34" width="18.109375" style="1" hidden="1" customWidth="1"/>
    <col min="35" max="35" width="5.5546875" style="1" hidden="1" customWidth="1"/>
    <col min="36" max="36" width="20.33203125" style="1" hidden="1" customWidth="1"/>
    <col min="37" max="37" width="8.6640625" style="1" hidden="1" customWidth="1"/>
    <col min="38" max="38" width="5.5546875" style="1" hidden="1" customWidth="1"/>
    <col min="39" max="39" width="25.44140625" style="1" hidden="1" customWidth="1"/>
    <col min="40" max="40" width="5.5546875" style="1" hidden="1" customWidth="1"/>
    <col min="41" max="41" width="25.44140625" style="1" hidden="1" customWidth="1"/>
    <col min="42" max="42" width="12.109375" style="1" hidden="1" customWidth="1"/>
    <col min="43" max="43" width="5.5546875" style="1" hidden="1" customWidth="1"/>
    <col min="44" max="44" width="17.88671875" style="1" hidden="1" customWidth="1"/>
    <col min="45" max="45" width="5.5546875" style="1" hidden="1" customWidth="1"/>
    <col min="46" max="46" width="17.88671875" style="1" hidden="1" customWidth="1"/>
    <col min="47" max="47" width="4.33203125" style="1" hidden="1" customWidth="1"/>
    <col min="48" max="48" width="13.88671875" style="1" hidden="1" customWidth="1"/>
    <col min="49" max="49" width="14.33203125" style="1" hidden="1" customWidth="1"/>
    <col min="50" max="51" width="15.33203125" style="1" hidden="1" customWidth="1"/>
    <col min="52" max="52" width="8.6640625" style="1" hidden="1" customWidth="1"/>
    <col min="53" max="53" width="5" style="1" hidden="1" customWidth="1"/>
    <col min="54" max="54" width="18.88671875" style="1" hidden="1" customWidth="1"/>
    <col min="55" max="55" width="8.6640625" style="1" hidden="1" customWidth="1"/>
    <col min="56" max="56" width="5" style="1" hidden="1" customWidth="1"/>
    <col min="57" max="57" width="21.109375" style="1" hidden="1" customWidth="1"/>
    <col min="58" max="58" width="13.44140625" style="1" hidden="1" customWidth="1"/>
    <col min="59" max="59" width="5" style="1" hidden="1" customWidth="1"/>
    <col min="60" max="60" width="17.44140625" style="1" hidden="1" customWidth="1"/>
    <col min="61" max="61" width="13.44140625" style="1" hidden="1" customWidth="1"/>
    <col min="62" max="62" width="5" style="1" hidden="1" customWidth="1"/>
    <col min="63" max="63" width="17.44140625" style="1" hidden="1" customWidth="1"/>
    <col min="64" max="64" width="13.44140625" style="1" hidden="1" customWidth="1"/>
    <col min="65" max="65" width="3.5546875" style="1" hidden="1" customWidth="1"/>
    <col min="66" max="70" width="17" style="1" hidden="1" customWidth="1"/>
    <col min="71" max="72" width="3.5546875" style="1" hidden="1" customWidth="1"/>
    <col min="73" max="77" width="17" style="1" hidden="1" customWidth="1"/>
    <col min="78" max="16384" width="11.44140625" style="1" hidden="1"/>
  </cols>
  <sheetData>
    <row r="1" spans="1:70" ht="31.5" customHeight="1" x14ac:dyDescent="0.25">
      <c r="A1" s="220"/>
      <c r="B1" s="194"/>
      <c r="C1" s="194"/>
      <c r="D1" s="195"/>
      <c r="E1" s="198"/>
      <c r="F1" s="196"/>
      <c r="G1" s="198" t="s">
        <v>120</v>
      </c>
      <c r="H1" s="194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350"/>
      <c r="V1" s="350"/>
      <c r="W1" s="350"/>
      <c r="X1" s="350"/>
      <c r="Y1" s="350"/>
      <c r="Z1" s="350"/>
      <c r="AA1" s="350"/>
      <c r="AB1" s="199"/>
      <c r="AC1" s="131"/>
      <c r="AD1" s="137" t="s">
        <v>80</v>
      </c>
      <c r="AE1" s="131"/>
      <c r="AF1" s="131"/>
      <c r="AG1" s="3"/>
      <c r="AH1" s="7" t="s">
        <v>62</v>
      </c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/>
      <c r="BE1"/>
      <c r="BF1"/>
      <c r="BG1" s="3"/>
      <c r="BH1"/>
      <c r="BI1"/>
      <c r="BJ1" s="3"/>
      <c r="BK1"/>
      <c r="BL1"/>
      <c r="BM1" s="3"/>
      <c r="BN1" s="3"/>
      <c r="BO1" s="3"/>
      <c r="BP1" s="3"/>
      <c r="BQ1" s="3"/>
      <c r="BR1" s="3"/>
    </row>
    <row r="2" spans="1:70" ht="15.75" customHeight="1" x14ac:dyDescent="0.25">
      <c r="A2" s="9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91"/>
      <c r="AC2" s="132"/>
      <c r="AD2" s="132"/>
      <c r="AE2" s="132"/>
      <c r="AF2" s="132"/>
      <c r="AG2" s="3"/>
      <c r="AH2" s="3" t="s">
        <v>61</v>
      </c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/>
      <c r="BE2"/>
      <c r="BF2"/>
      <c r="BG2" s="3"/>
      <c r="BH2"/>
      <c r="BI2"/>
      <c r="BJ2" s="3"/>
      <c r="BK2"/>
      <c r="BL2"/>
      <c r="BM2" s="3"/>
      <c r="BN2" s="3"/>
      <c r="BO2" s="3"/>
      <c r="BP2" s="3"/>
      <c r="BQ2" s="3"/>
      <c r="BR2" s="3"/>
    </row>
    <row r="3" spans="1:70" ht="18" thickBot="1" x14ac:dyDescent="0.35">
      <c r="A3" s="94"/>
      <c r="B3" s="219" t="s">
        <v>103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61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91"/>
      <c r="AC3" s="132"/>
      <c r="AD3"/>
      <c r="AE3" s="132"/>
      <c r="AF3" s="132"/>
      <c r="AG3" s="3"/>
      <c r="AH3" s="3" t="s">
        <v>60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/>
      <c r="BE3"/>
      <c r="BF3"/>
      <c r="BG3" s="3"/>
      <c r="BH3"/>
      <c r="BI3"/>
      <c r="BJ3" s="3"/>
      <c r="BK3"/>
      <c r="BL3"/>
      <c r="BM3" s="3"/>
      <c r="BN3" s="3"/>
      <c r="BO3" s="3"/>
      <c r="BP3" s="3"/>
      <c r="BQ3" s="3"/>
      <c r="BR3" s="3"/>
    </row>
    <row r="4" spans="1:70" ht="15.75" customHeight="1" thickTop="1" x14ac:dyDescent="0.25">
      <c r="A4" s="94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2"/>
      <c r="Q4" s="581" t="s">
        <v>58</v>
      </c>
      <c r="R4" s="581"/>
      <c r="S4" s="581"/>
      <c r="T4" s="60"/>
      <c r="U4" s="60"/>
      <c r="V4" s="60"/>
      <c r="W4" s="60"/>
      <c r="X4" s="60"/>
      <c r="Y4" s="60"/>
      <c r="Z4" s="60"/>
      <c r="AA4" s="60"/>
      <c r="AB4" s="91"/>
      <c r="AC4" s="132"/>
      <c r="AD4" s="132"/>
      <c r="AE4" s="132"/>
      <c r="AF4" s="132"/>
      <c r="AG4"/>
      <c r="AH4"/>
      <c r="AI4"/>
      <c r="AJ4"/>
      <c r="AK4"/>
      <c r="AL4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/>
      <c r="BE4"/>
      <c r="BF4"/>
      <c r="BG4" s="3"/>
      <c r="BH4"/>
      <c r="BI4"/>
      <c r="BJ4" s="3"/>
      <c r="BK4"/>
      <c r="BL4"/>
      <c r="BM4" s="3"/>
      <c r="BN4" s="3"/>
      <c r="BO4" s="3"/>
      <c r="BP4" s="3"/>
      <c r="BQ4" s="3"/>
      <c r="BR4" s="3"/>
    </row>
    <row r="5" spans="1:70" ht="15.75" customHeight="1" x14ac:dyDescent="0.25">
      <c r="A5" s="94"/>
      <c r="B5" s="60"/>
      <c r="C5" s="60"/>
      <c r="D5" s="62"/>
      <c r="E5" s="104"/>
      <c r="F5" s="104"/>
      <c r="G5" s="104"/>
      <c r="H5" s="104"/>
      <c r="I5" s="105"/>
      <c r="J5" s="106"/>
      <c r="K5" s="107"/>
      <c r="L5" s="107"/>
      <c r="M5" s="107"/>
      <c r="N5" s="107"/>
      <c r="O5" s="107"/>
      <c r="P5" s="90"/>
      <c r="Q5" s="581" t="s">
        <v>79</v>
      </c>
      <c r="R5" s="581"/>
      <c r="S5" s="581"/>
      <c r="T5" s="163"/>
      <c r="U5" s="163"/>
      <c r="V5" s="163"/>
      <c r="W5" s="163"/>
      <c r="X5" s="163"/>
      <c r="Y5" s="163"/>
      <c r="Z5" s="163"/>
      <c r="AA5" s="163"/>
      <c r="AB5" s="100"/>
      <c r="AC5" s="132"/>
      <c r="AD5" s="132"/>
      <c r="AE5" s="132"/>
      <c r="AF5" s="132"/>
      <c r="AG5"/>
      <c r="AH5"/>
      <c r="AI5"/>
      <c r="AJ5"/>
      <c r="AK5"/>
      <c r="AL5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11"/>
      <c r="BC5" s="3"/>
      <c r="BD5"/>
      <c r="BE5"/>
      <c r="BF5"/>
      <c r="BG5" s="3"/>
      <c r="BH5"/>
      <c r="BI5"/>
      <c r="BJ5" s="3"/>
      <c r="BK5"/>
      <c r="BL5"/>
      <c r="BM5" s="3"/>
    </row>
    <row r="6" spans="1:70" ht="15.75" customHeight="1" x14ac:dyDescent="0.3">
      <c r="A6" s="94"/>
      <c r="B6" s="225" t="s">
        <v>0</v>
      </c>
      <c r="C6" s="226"/>
      <c r="D6" s="62"/>
      <c r="E6" s="225" t="s">
        <v>1</v>
      </c>
      <c r="F6" s="227"/>
      <c r="G6" s="228"/>
      <c r="H6" s="227"/>
      <c r="I6" s="63"/>
      <c r="J6" s="225" t="s">
        <v>95</v>
      </c>
      <c r="K6" s="225"/>
      <c r="L6" s="221"/>
      <c r="M6" s="235" t="s">
        <v>104</v>
      </c>
      <c r="N6" s="235"/>
      <c r="O6" s="235"/>
      <c r="P6" s="62"/>
      <c r="Q6" s="169" t="s">
        <v>53</v>
      </c>
      <c r="R6" s="62"/>
      <c r="S6" s="110">
        <f>SUM(J99,W99)</f>
        <v>0</v>
      </c>
      <c r="T6" s="163"/>
      <c r="U6" s="163"/>
      <c r="V6" s="163"/>
      <c r="W6" s="163"/>
      <c r="X6" s="163"/>
      <c r="Y6" s="163"/>
      <c r="Z6" s="163"/>
      <c r="AA6" s="163"/>
      <c r="AB6" s="91"/>
      <c r="AC6" s="150"/>
      <c r="AD6" s="150"/>
      <c r="AE6" s="150"/>
      <c r="AF6" s="150"/>
      <c r="AG6"/>
      <c r="AH6"/>
      <c r="AI6"/>
      <c r="AJ6"/>
      <c r="AK6"/>
      <c r="AL6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3"/>
      <c r="BB6" s="3"/>
      <c r="BC6" s="3"/>
      <c r="BD6"/>
      <c r="BE6"/>
      <c r="BF6"/>
      <c r="BG6" s="3"/>
      <c r="BH6"/>
      <c r="BI6"/>
      <c r="BJ6" s="3"/>
      <c r="BK6"/>
      <c r="BL6"/>
      <c r="BM6" s="3"/>
      <c r="BN6" s="3"/>
      <c r="BO6" s="3"/>
      <c r="BP6" s="3"/>
      <c r="BQ6" s="3"/>
      <c r="BR6" s="3"/>
    </row>
    <row r="7" spans="1:70" ht="15.75" customHeight="1" x14ac:dyDescent="0.3">
      <c r="A7" s="94"/>
      <c r="B7" s="233">
        <f>'Resumen Flex'!F7</f>
        <v>4200000</v>
      </c>
      <c r="C7" s="64"/>
      <c r="D7" s="62"/>
      <c r="E7" s="65">
        <v>1.7500000000000002E-2</v>
      </c>
      <c r="F7" s="66" t="s">
        <v>16</v>
      </c>
      <c r="G7" s="67">
        <f>IF('Resumen Flex'!U37=TRUE,((B7*1.75%*80%)*1.16),B7*1.75%*1.16)</f>
        <v>85260</v>
      </c>
      <c r="H7" s="63"/>
      <c r="I7" s="62"/>
      <c r="J7" s="225" t="s">
        <v>98</v>
      </c>
      <c r="K7" s="225"/>
      <c r="L7" s="221"/>
      <c r="M7" s="210" t="s">
        <v>124</v>
      </c>
      <c r="N7" s="221"/>
      <c r="O7" s="221"/>
      <c r="P7" s="62"/>
      <c r="Q7" s="169" t="s">
        <v>54</v>
      </c>
      <c r="R7" s="62"/>
      <c r="S7" s="109">
        <f>R103</f>
        <v>0</v>
      </c>
      <c r="T7" s="164"/>
      <c r="U7" s="164"/>
      <c r="V7" s="164"/>
      <c r="W7" s="164"/>
      <c r="X7" s="164"/>
      <c r="Y7" s="164"/>
      <c r="Z7" s="164"/>
      <c r="AA7" s="164"/>
      <c r="AB7" s="92"/>
      <c r="AC7" s="136"/>
      <c r="AD7" s="136"/>
      <c r="AE7" s="136"/>
      <c r="AF7" s="136"/>
      <c r="AG7"/>
      <c r="AH7"/>
      <c r="AI7"/>
      <c r="AJ7"/>
      <c r="AK7"/>
      <c r="AL7"/>
      <c r="BA7" s="7"/>
      <c r="BB7" s="3"/>
      <c r="BC7" s="3"/>
      <c r="BD7"/>
      <c r="BE7"/>
      <c r="BF7"/>
      <c r="BG7" s="7"/>
      <c r="BH7"/>
      <c r="BI7"/>
      <c r="BJ7" s="7"/>
      <c r="BK7"/>
      <c r="BL7"/>
      <c r="BM7" s="3"/>
      <c r="BN7" s="3"/>
      <c r="BO7" s="3"/>
      <c r="BP7" s="3"/>
      <c r="BQ7" s="3"/>
      <c r="BR7" s="3"/>
    </row>
    <row r="8" spans="1:70" ht="15.75" customHeight="1" x14ac:dyDescent="0.3">
      <c r="A8" s="94"/>
      <c r="B8" s="60"/>
      <c r="C8" s="60"/>
      <c r="D8" s="60"/>
      <c r="E8" s="68">
        <v>1.7500000000000002E-2</v>
      </c>
      <c r="F8" s="66" t="s">
        <v>17</v>
      </c>
      <c r="G8" s="69">
        <f>VLOOKUP(E17,$AG$39:$AH$99,2,0)*E8*1.16</f>
        <v>85260</v>
      </c>
      <c r="H8" s="70"/>
      <c r="I8" s="71"/>
      <c r="J8" s="207">
        <f>D39*3</f>
        <v>128233.69999999998</v>
      </c>
      <c r="K8" s="583" t="s">
        <v>105</v>
      </c>
      <c r="L8" s="213"/>
      <c r="M8" s="210" t="s">
        <v>119</v>
      </c>
      <c r="N8" s="236"/>
      <c r="O8" s="213"/>
      <c r="P8" s="62"/>
      <c r="Q8" s="169" t="s">
        <v>55</v>
      </c>
      <c r="R8" s="62"/>
      <c r="S8" s="109">
        <f>R104</f>
        <v>120</v>
      </c>
      <c r="T8" s="165"/>
      <c r="U8" s="165"/>
      <c r="V8" s="165"/>
      <c r="W8" s="165"/>
      <c r="X8" s="165"/>
      <c r="Y8" s="165"/>
      <c r="Z8" s="165"/>
      <c r="AA8" s="165"/>
      <c r="AB8" s="92"/>
      <c r="AC8" s="138"/>
      <c r="AD8" s="138"/>
      <c r="AE8" s="138"/>
      <c r="AF8" s="138"/>
      <c r="AG8"/>
      <c r="AH8"/>
      <c r="AI8"/>
      <c r="AJ8"/>
      <c r="AK8"/>
      <c r="AL8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7"/>
      <c r="BB8" s="3"/>
      <c r="BC8" s="3"/>
      <c r="BD8"/>
      <c r="BE8"/>
      <c r="BF8"/>
      <c r="BG8" s="7"/>
      <c r="BH8"/>
      <c r="BI8"/>
      <c r="BJ8" s="7"/>
      <c r="BK8"/>
      <c r="BL8"/>
      <c r="BM8" s="3"/>
      <c r="BN8" s="3"/>
      <c r="BO8" s="3"/>
      <c r="BP8" s="3"/>
      <c r="BQ8" s="3"/>
      <c r="BR8" s="3"/>
    </row>
    <row r="9" spans="1:70" ht="15.75" customHeight="1" x14ac:dyDescent="0.3">
      <c r="A9" s="94"/>
      <c r="B9" s="229" t="s">
        <v>6</v>
      </c>
      <c r="C9" s="60"/>
      <c r="D9" s="60"/>
      <c r="E9" s="230">
        <f>SUM(E7:E8)</f>
        <v>3.5000000000000003E-2</v>
      </c>
      <c r="G9" s="231">
        <f>SUM(G7:G8)</f>
        <v>170520</v>
      </c>
      <c r="H9" s="60"/>
      <c r="I9" s="73"/>
      <c r="J9" s="73"/>
      <c r="K9" s="583"/>
      <c r="L9" s="213"/>
      <c r="M9" s="210"/>
      <c r="N9" s="236"/>
      <c r="O9" s="213"/>
      <c r="P9" s="74"/>
      <c r="Q9" s="582" t="str">
        <f>IF(S6&gt;0,"Monto Ahorrado:","")</f>
        <v/>
      </c>
      <c r="R9" s="582"/>
      <c r="S9" s="166" t="str">
        <f>IF(S6&gt;0,(SUM(AM39:AM98,AO39:AO98)-SUM(D99,Q99)-S6),"")</f>
        <v/>
      </c>
      <c r="T9" s="62"/>
      <c r="U9" s="62"/>
      <c r="V9" s="62"/>
      <c r="W9" s="62"/>
      <c r="X9" s="62"/>
      <c r="Y9" s="62"/>
      <c r="Z9" s="62"/>
      <c r="AA9" s="62"/>
      <c r="AB9" s="92"/>
      <c r="AC9" s="132"/>
      <c r="AD9" s="132"/>
      <c r="AE9" s="132"/>
      <c r="AF9" s="132"/>
      <c r="AG9"/>
      <c r="AH9"/>
      <c r="AI9"/>
      <c r="AJ9"/>
      <c r="AK9"/>
      <c r="AL9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"/>
      <c r="BB9" s="3"/>
      <c r="BC9" s="3"/>
      <c r="BD9"/>
      <c r="BE9"/>
      <c r="BF9"/>
      <c r="BG9" s="3"/>
      <c r="BH9"/>
      <c r="BI9"/>
      <c r="BJ9" s="3"/>
      <c r="BK9"/>
      <c r="BL9"/>
      <c r="BM9" s="3"/>
      <c r="BN9" s="3"/>
      <c r="BO9" s="3"/>
      <c r="BP9" s="3"/>
      <c r="BQ9" s="3"/>
      <c r="BR9" s="3"/>
    </row>
    <row r="10" spans="1:70" ht="15.75" customHeight="1" x14ac:dyDescent="0.3">
      <c r="A10" s="94"/>
      <c r="B10" s="232">
        <v>180</v>
      </c>
      <c r="C10" s="60"/>
      <c r="D10" s="60"/>
      <c r="E10" s="60"/>
      <c r="F10" s="60"/>
      <c r="G10" s="60"/>
      <c r="H10" s="60"/>
      <c r="I10" s="60"/>
      <c r="J10" s="212"/>
      <c r="K10" s="314" t="s">
        <v>97</v>
      </c>
      <c r="L10" s="73"/>
      <c r="M10" s="73"/>
      <c r="N10" s="73"/>
      <c r="O10" s="73"/>
      <c r="P10" s="75"/>
      <c r="Q10" s="167" t="str">
        <f>IF(S6&gt;0,"Equivalente a las cuotas que redujeron de la última hacia atrás","")</f>
        <v/>
      </c>
      <c r="R10" s="73"/>
      <c r="S10" s="73"/>
      <c r="T10" s="62"/>
      <c r="U10" s="62"/>
      <c r="V10" s="62"/>
      <c r="W10" s="62"/>
      <c r="X10" s="62"/>
      <c r="Y10" s="62"/>
      <c r="Z10" s="62"/>
      <c r="AA10" s="62"/>
      <c r="AB10" s="92"/>
      <c r="AC10" s="132"/>
      <c r="AD10" s="132"/>
      <c r="AE10" s="132"/>
      <c r="AF10" s="132"/>
      <c r="AG10"/>
      <c r="AH10"/>
      <c r="AI10"/>
      <c r="AJ10"/>
      <c r="AK10"/>
      <c r="AL10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3"/>
      <c r="BB10" s="3"/>
      <c r="BC10" s="3"/>
      <c r="BD10"/>
      <c r="BE10"/>
      <c r="BF10"/>
      <c r="BG10" s="3"/>
      <c r="BH10"/>
      <c r="BI10"/>
      <c r="BJ10" s="3"/>
      <c r="BK10"/>
      <c r="BL10"/>
      <c r="BM10" s="3"/>
      <c r="BN10" s="3"/>
      <c r="BO10" s="3"/>
      <c r="BP10" s="3"/>
      <c r="BQ10" s="3"/>
      <c r="BR10" s="3"/>
    </row>
    <row r="11" spans="1:70" ht="15.75" customHeight="1" x14ac:dyDescent="0.25">
      <c r="A11" s="94"/>
      <c r="B11" s="60"/>
      <c r="C11" s="60"/>
      <c r="D11" s="60"/>
      <c r="E11" s="60"/>
      <c r="F11" s="60"/>
      <c r="G11" s="60"/>
      <c r="H11" s="60"/>
      <c r="I11" s="60"/>
      <c r="J11" s="73"/>
      <c r="K11" s="73"/>
      <c r="L11" s="73"/>
      <c r="M11" s="73"/>
      <c r="N11" s="73"/>
      <c r="O11" s="73"/>
      <c r="P11" s="75"/>
      <c r="Q11" s="62"/>
      <c r="R11" s="62"/>
      <c r="S11" s="62"/>
      <c r="T11" s="168"/>
      <c r="U11" s="168"/>
      <c r="V11" s="168"/>
      <c r="W11" s="168"/>
      <c r="X11" s="168"/>
      <c r="Y11" s="168"/>
      <c r="Z11" s="168"/>
      <c r="AA11" s="168"/>
      <c r="AB11" s="92"/>
      <c r="AC11" s="132"/>
      <c r="AD11" s="132"/>
      <c r="AE11" s="132"/>
      <c r="AF11" s="132"/>
      <c r="AG11"/>
      <c r="AH11"/>
      <c r="AI11"/>
      <c r="AJ11"/>
      <c r="AK11"/>
      <c r="AL11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3"/>
      <c r="BB11" s="3"/>
      <c r="BC11" s="3"/>
      <c r="BD11"/>
      <c r="BE11"/>
      <c r="BF11"/>
      <c r="BG11" s="3"/>
      <c r="BH11"/>
      <c r="BI11"/>
      <c r="BJ11" s="3"/>
      <c r="BK11"/>
      <c r="BL11"/>
      <c r="BM11" s="3"/>
      <c r="BN11" s="3"/>
      <c r="BO11" s="3"/>
      <c r="BP11" s="3"/>
      <c r="BQ11" s="3"/>
      <c r="BR11" s="3"/>
    </row>
    <row r="12" spans="1:70" ht="15.75" customHeight="1" x14ac:dyDescent="0.25">
      <c r="A12" s="94"/>
      <c r="B12" s="60"/>
      <c r="C12" s="60"/>
      <c r="D12" s="60"/>
      <c r="E12" s="60"/>
      <c r="F12" s="60"/>
      <c r="G12" s="60"/>
      <c r="H12" s="60"/>
      <c r="I12" s="60"/>
      <c r="J12" s="211"/>
      <c r="K12" s="73"/>
      <c r="L12" s="73"/>
      <c r="M12" s="73"/>
      <c r="N12" s="73"/>
      <c r="O12" s="73"/>
      <c r="P12" s="75"/>
      <c r="Q12" s="62"/>
      <c r="R12" s="62"/>
      <c r="S12" s="62"/>
      <c r="T12" s="168"/>
      <c r="U12" s="168"/>
      <c r="V12" s="168"/>
      <c r="W12" s="168"/>
      <c r="X12" s="168"/>
      <c r="Y12" s="168"/>
      <c r="Z12" s="168"/>
      <c r="AA12" s="168"/>
      <c r="AB12" s="91"/>
      <c r="AC12" s="132"/>
      <c r="AD12" s="132"/>
      <c r="AE12" s="132"/>
      <c r="AF12" s="132"/>
      <c r="AG12"/>
      <c r="AH12"/>
      <c r="AI12"/>
      <c r="AJ12"/>
      <c r="AK12"/>
      <c r="AL12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3"/>
      <c r="BB12" s="3"/>
      <c r="BC12" s="3"/>
      <c r="BD12"/>
      <c r="BE12"/>
      <c r="BF12"/>
      <c r="BG12" s="3"/>
      <c r="BH12"/>
      <c r="BI12"/>
      <c r="BJ12" s="3"/>
      <c r="BK12"/>
      <c r="BL12"/>
      <c r="BM12" s="3"/>
      <c r="BN12" s="3"/>
      <c r="BO12" s="3"/>
      <c r="BP12" s="3"/>
      <c r="BQ12" s="3"/>
      <c r="BR12" s="3"/>
    </row>
    <row r="13" spans="1:70" ht="18" thickBot="1" x14ac:dyDescent="0.35">
      <c r="A13" s="94"/>
      <c r="B13" s="219" t="s">
        <v>140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61"/>
      <c r="M13" s="61"/>
      <c r="N13" s="61"/>
      <c r="O13" s="345"/>
      <c r="P13" s="90"/>
      <c r="Q13" s="62"/>
      <c r="R13" s="62"/>
      <c r="S13" s="62"/>
      <c r="T13" s="109"/>
      <c r="U13" s="109"/>
      <c r="V13" s="110"/>
      <c r="W13" s="110"/>
      <c r="X13" s="110"/>
      <c r="Y13" s="110"/>
      <c r="Z13" s="110"/>
      <c r="AA13" s="110"/>
      <c r="AB13" s="91"/>
      <c r="AC13" s="136"/>
      <c r="AD13" s="136"/>
      <c r="AE13" s="132"/>
      <c r="AF13" s="132"/>
      <c r="AG13"/>
      <c r="AH13"/>
      <c r="AI13"/>
      <c r="AJ13"/>
      <c r="AK13"/>
      <c r="AL13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3"/>
      <c r="BB13" s="3"/>
      <c r="BC13" s="3"/>
      <c r="BD13"/>
      <c r="BE13"/>
      <c r="BF13"/>
      <c r="BG13" s="3"/>
      <c r="BH13"/>
      <c r="BI13"/>
      <c r="BJ13" s="3"/>
      <c r="BK13"/>
      <c r="BL13"/>
      <c r="BM13" s="3"/>
      <c r="BN13" s="3"/>
      <c r="BO13" s="3"/>
      <c r="BP13" s="3"/>
      <c r="BQ13" s="3"/>
      <c r="BR13" s="3"/>
    </row>
    <row r="14" spans="1:70" ht="15.75" customHeight="1" thickTop="1" x14ac:dyDescent="0.25">
      <c r="A14" s="94"/>
      <c r="B14" s="60"/>
      <c r="C14" s="60"/>
      <c r="D14" s="62"/>
      <c r="E14" s="104"/>
      <c r="F14" s="104"/>
      <c r="G14" s="104"/>
      <c r="H14" s="104"/>
      <c r="I14" s="105"/>
      <c r="J14" s="106"/>
      <c r="K14" s="107"/>
      <c r="L14" s="107"/>
      <c r="M14" s="107"/>
      <c r="N14" s="107"/>
      <c r="O14" s="107"/>
      <c r="P14" s="62"/>
      <c r="Q14" s="586" t="s">
        <v>89</v>
      </c>
      <c r="R14" s="586"/>
      <c r="S14" s="586"/>
      <c r="T14" s="586"/>
      <c r="U14" s="351"/>
      <c r="V14" s="109"/>
      <c r="W14" s="109"/>
      <c r="X14" s="109"/>
      <c r="Y14" s="109"/>
      <c r="Z14" s="109"/>
      <c r="AA14" s="109"/>
      <c r="AB14" s="100"/>
      <c r="AC14" s="136"/>
      <c r="AD14" s="136"/>
      <c r="AE14" s="132"/>
      <c r="AF14" s="132"/>
      <c r="AG14"/>
      <c r="AH14"/>
      <c r="AI14"/>
      <c r="AJ14"/>
      <c r="AK14"/>
      <c r="AL14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11"/>
      <c r="BC14" s="3"/>
      <c r="BD14"/>
      <c r="BE14"/>
      <c r="BF14"/>
      <c r="BG14" s="3"/>
      <c r="BH14"/>
      <c r="BI14"/>
      <c r="BJ14" s="3"/>
      <c r="BK14"/>
      <c r="BL14"/>
      <c r="BM14" s="3"/>
    </row>
    <row r="15" spans="1:70" ht="15.75" customHeight="1" x14ac:dyDescent="0.3">
      <c r="A15" s="94"/>
      <c r="B15" s="60"/>
      <c r="C15" s="60"/>
      <c r="D15" s="60"/>
      <c r="E15" s="60"/>
      <c r="F15" s="60"/>
      <c r="G15" s="288">
        <v>1.4E-3</v>
      </c>
      <c r="H15" s="234"/>
      <c r="I15" s="289">
        <f>IF('Resumen Flex'!U38=TRUE,0.07%,IF('Resumen Flex'!U37=TRUE,0.04%,0.05%))</f>
        <v>5.0000000000000001E-4</v>
      </c>
      <c r="J15" s="290">
        <f>IF('Resumen Flex'!U36=TRUE,0,0.02755%)</f>
        <v>2.7550000000000003E-4</v>
      </c>
      <c r="K15" s="73"/>
      <c r="L15" s="73"/>
      <c r="M15" s="73"/>
      <c r="N15" s="73"/>
      <c r="O15" s="73"/>
      <c r="P15" s="74"/>
      <c r="Q15" s="586" t="s">
        <v>94</v>
      </c>
      <c r="R15" s="586"/>
      <c r="S15" s="586"/>
      <c r="T15" s="586"/>
      <c r="U15" s="351"/>
      <c r="V15" s="351"/>
      <c r="W15" s="351"/>
      <c r="X15" s="351"/>
      <c r="Y15" s="351"/>
      <c r="Z15" s="351"/>
      <c r="AA15" s="351"/>
      <c r="AB15" s="93"/>
      <c r="AC15" s="136"/>
      <c r="AD15" s="136"/>
      <c r="AE15" s="132"/>
      <c r="AF15" s="132"/>
      <c r="AG15"/>
      <c r="AH15"/>
      <c r="AI15"/>
      <c r="AJ15"/>
      <c r="AK15"/>
      <c r="AL15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/>
      <c r="BE15"/>
      <c r="BF15"/>
      <c r="BG15" s="3"/>
      <c r="BH15"/>
      <c r="BI15"/>
      <c r="BJ15" s="3"/>
      <c r="BK15"/>
      <c r="BL15"/>
      <c r="BM15" s="3"/>
      <c r="BN15" s="3"/>
      <c r="BO15" s="3"/>
      <c r="BP15" s="3"/>
      <c r="BQ15" s="3"/>
      <c r="BR15" s="3"/>
    </row>
    <row r="16" spans="1:70" ht="15.75" customHeight="1" x14ac:dyDescent="0.3">
      <c r="A16" s="94"/>
      <c r="B16" s="242" t="s">
        <v>101</v>
      </c>
      <c r="C16" s="243"/>
      <c r="D16" s="243"/>
      <c r="E16" s="237" t="s">
        <v>47</v>
      </c>
      <c r="F16" s="237" t="s">
        <v>18</v>
      </c>
      <c r="G16" s="238" t="s">
        <v>102</v>
      </c>
      <c r="H16" s="238" t="s">
        <v>19</v>
      </c>
      <c r="I16" s="238" t="s">
        <v>99</v>
      </c>
      <c r="J16" s="291" t="s">
        <v>100</v>
      </c>
      <c r="K16" s="241" t="s">
        <v>4</v>
      </c>
      <c r="L16" s="222"/>
      <c r="M16" s="589" t="s">
        <v>57</v>
      </c>
      <c r="N16" s="589"/>
      <c r="O16" s="60"/>
      <c r="P16" s="74"/>
      <c r="Q16" s="584" t="s">
        <v>72</v>
      </c>
      <c r="R16" s="584"/>
      <c r="S16" s="584"/>
      <c r="T16" s="584"/>
      <c r="U16" s="351"/>
      <c r="V16" s="351"/>
      <c r="W16" s="351"/>
      <c r="X16" s="351"/>
      <c r="Y16" s="351"/>
      <c r="Z16" s="351"/>
      <c r="AA16" s="351"/>
      <c r="AB16" s="93"/>
      <c r="AC16" s="132"/>
      <c r="AD16" s="132"/>
      <c r="AE16" s="139"/>
      <c r="AF16" s="139"/>
      <c r="AG16"/>
      <c r="AH16"/>
      <c r="AI16"/>
      <c r="AJ16"/>
      <c r="AK16"/>
      <c r="AL16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"/>
      <c r="BD16" s="98"/>
      <c r="BG16" s="3"/>
      <c r="BJ16" s="3"/>
      <c r="BM16" s="3"/>
      <c r="BQ16" s="98"/>
    </row>
    <row r="17" spans="1:74" ht="15.75" customHeight="1" x14ac:dyDescent="0.25">
      <c r="A17" s="94"/>
      <c r="B17" s="253" t="s">
        <v>93</v>
      </c>
      <c r="C17" s="72"/>
      <c r="D17" s="76"/>
      <c r="E17" s="252">
        <f>'Resumen Flex'!B23</f>
        <v>1</v>
      </c>
      <c r="F17" s="158">
        <f>VLOOKUP(E17,BT39:BY98,2,0)</f>
        <v>23333.333333333332</v>
      </c>
      <c r="G17" s="159">
        <f>VLOOKUP(E17,BT39:BY98,3,0)</f>
        <v>5880</v>
      </c>
      <c r="H17" s="158">
        <f>+G17*0.16</f>
        <v>940.80000000000007</v>
      </c>
      <c r="I17" s="160">
        <f>VLOOKUP(E17,BT39:BY98,5,0)</f>
        <v>2100</v>
      </c>
      <c r="J17" s="127">
        <v>0</v>
      </c>
      <c r="K17" s="239">
        <f>SUM(F17:I17)</f>
        <v>32254.133333333331</v>
      </c>
      <c r="L17" s="223"/>
      <c r="M17" s="75" t="s">
        <v>51</v>
      </c>
      <c r="N17" s="62"/>
      <c r="O17" s="163">
        <f>B7</f>
        <v>4200000</v>
      </c>
      <c r="P17" s="90"/>
      <c r="Q17" s="170" t="s">
        <v>84</v>
      </c>
      <c r="R17" s="170"/>
      <c r="S17" s="170" t="s">
        <v>85</v>
      </c>
      <c r="T17" s="170" t="s">
        <v>86</v>
      </c>
      <c r="U17" s="170"/>
      <c r="V17" s="351"/>
      <c r="W17" s="351"/>
      <c r="X17" s="351"/>
      <c r="Y17" s="351"/>
      <c r="Z17" s="351"/>
      <c r="AA17" s="351"/>
      <c r="AB17" s="93"/>
      <c r="AC17" s="132"/>
      <c r="AD17" s="132"/>
      <c r="AE17" s="140"/>
      <c r="AF17" s="140"/>
      <c r="AG17"/>
      <c r="AH17"/>
      <c r="AI17"/>
      <c r="AJ17"/>
      <c r="AK17"/>
      <c r="AL17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"/>
      <c r="BG17" s="3"/>
      <c r="BJ17" s="3"/>
      <c r="BM17" s="3"/>
      <c r="BQ17" s="3"/>
    </row>
    <row r="18" spans="1:74" ht="15.75" customHeight="1" x14ac:dyDescent="0.25">
      <c r="A18" s="94"/>
      <c r="B18" s="253" t="s">
        <v>132</v>
      </c>
      <c r="C18" s="72"/>
      <c r="D18" s="101"/>
      <c r="E18" s="181">
        <f>60-E17</f>
        <v>59</v>
      </c>
      <c r="F18" s="161">
        <f>IF(E17&gt;=0,VLOOKUP(E17,BM39:BR98,2,0)*E18," ")</f>
        <v>1376666.6666666665</v>
      </c>
      <c r="G18" s="369">
        <f>IF(E17&lt;=2,0,(VLOOKUP(E17,BM39:BO98,3,0)/2)*E18)</f>
        <v>0</v>
      </c>
      <c r="H18" s="162">
        <f>G18*0.16</f>
        <v>0</v>
      </c>
      <c r="I18" s="162"/>
      <c r="J18" s="128"/>
      <c r="K18" s="240">
        <f>SUM(F18:I18)</f>
        <v>1376666.6666666665</v>
      </c>
      <c r="L18" s="223"/>
      <c r="M18" s="75" t="s">
        <v>52</v>
      </c>
      <c r="N18" s="62"/>
      <c r="O18" s="163">
        <f>B21</f>
        <v>4200000</v>
      </c>
      <c r="P18" s="90"/>
      <c r="Q18" s="346" t="s">
        <v>137</v>
      </c>
      <c r="R18" s="171"/>
      <c r="S18" s="172">
        <v>0.05</v>
      </c>
      <c r="T18" s="173">
        <f>IF(AJ22=TRUE,BH26,0)</f>
        <v>0</v>
      </c>
      <c r="U18" s="352"/>
      <c r="V18" s="170"/>
      <c r="W18" s="170"/>
      <c r="X18" s="170"/>
      <c r="Y18" s="170"/>
      <c r="Z18" s="170"/>
      <c r="AA18" s="170"/>
      <c r="AB18" s="93"/>
      <c r="AC18" s="136"/>
      <c r="AE18" s="140"/>
      <c r="AF18" s="140"/>
      <c r="AG18"/>
      <c r="AH18"/>
      <c r="AI18"/>
      <c r="AJ18"/>
      <c r="AK18"/>
      <c r="AL18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"/>
      <c r="BG18" s="3"/>
      <c r="BJ18" s="3"/>
      <c r="BM18" s="3"/>
    </row>
    <row r="19" spans="1:74" ht="15.75" customHeight="1" x14ac:dyDescent="0.3">
      <c r="A19" s="94"/>
      <c r="B19" s="62"/>
      <c r="C19" s="71"/>
      <c r="D19" s="77"/>
      <c r="E19" s="251">
        <f>SUM(E17:E18)</f>
        <v>60</v>
      </c>
      <c r="F19" s="78">
        <f t="shared" ref="F19:J19" si="0">SUM(F17:F18)</f>
        <v>1399999.9999999998</v>
      </c>
      <c r="G19" s="78">
        <f t="shared" si="0"/>
        <v>5880</v>
      </c>
      <c r="H19" s="78">
        <f t="shared" si="0"/>
        <v>940.80000000000007</v>
      </c>
      <c r="I19" s="78">
        <f t="shared" si="0"/>
        <v>2100</v>
      </c>
      <c r="J19" s="129">
        <f t="shared" si="0"/>
        <v>0</v>
      </c>
      <c r="K19" s="250">
        <f>SUM(K17:K18)</f>
        <v>1408920.7999999998</v>
      </c>
      <c r="L19" s="224"/>
      <c r="M19" s="75" t="s">
        <v>63</v>
      </c>
      <c r="N19" s="62"/>
      <c r="O19" s="164">
        <f>E19</f>
        <v>60</v>
      </c>
      <c r="P19" s="80"/>
      <c r="Q19" s="346" t="s">
        <v>135</v>
      </c>
      <c r="R19" s="171"/>
      <c r="S19" s="174">
        <v>2.5000000000000001E-2</v>
      </c>
      <c r="T19" s="173">
        <f>IF(AJ23=AJ22,0,IF(AJ23=TRUE,BH27,0))</f>
        <v>0</v>
      </c>
      <c r="U19" s="352"/>
      <c r="V19" s="352"/>
      <c r="W19" s="352"/>
      <c r="X19" s="352"/>
      <c r="Y19" s="352"/>
      <c r="Z19" s="352"/>
      <c r="AA19" s="352"/>
      <c r="AB19" s="93"/>
      <c r="AC19" s="136"/>
      <c r="AE19" s="136"/>
      <c r="AF19" s="136"/>
      <c r="AG19" s="99">
        <f>IF(E17&gt;2,K19-BR30-BU30,VLOOKUP(E17,$BM$39:$BN$98,2,0)*E18+BU30-K19)</f>
        <v>0</v>
      </c>
      <c r="AI19"/>
      <c r="AJ19"/>
      <c r="AK19"/>
      <c r="AL19" s="33"/>
      <c r="AM19" s="33"/>
      <c r="AN19" s="33"/>
      <c r="AO19" s="33"/>
      <c r="AP19" s="11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"/>
      <c r="BG19" s="3"/>
      <c r="BJ19" s="3"/>
      <c r="BM19" s="3"/>
    </row>
    <row r="20" spans="1:74" ht="15.75" customHeight="1" x14ac:dyDescent="0.3">
      <c r="A20" s="94"/>
      <c r="B20" s="244" t="s">
        <v>50</v>
      </c>
      <c r="C20" s="245"/>
      <c r="D20" s="66"/>
      <c r="E20" s="66"/>
      <c r="F20" s="62"/>
      <c r="G20" s="62"/>
      <c r="H20" s="62"/>
      <c r="I20" s="79"/>
      <c r="J20" s="79"/>
      <c r="K20" s="80"/>
      <c r="L20" s="80"/>
      <c r="M20" s="590" t="str">
        <f>IF(O18&gt;O17,"Ganancia por actualización:","")</f>
        <v/>
      </c>
      <c r="N20" s="590"/>
      <c r="O20" s="165" t="str">
        <f>IF(O18&gt;O17,O18-O17,"")</f>
        <v/>
      </c>
      <c r="P20" s="81"/>
      <c r="Q20" s="346" t="s">
        <v>66</v>
      </c>
      <c r="R20" s="171"/>
      <c r="S20" s="172">
        <v>0.05</v>
      </c>
      <c r="T20" s="173">
        <f>IF(AH24=TRUE,BH28,0)</f>
        <v>0</v>
      </c>
      <c r="U20" s="352"/>
      <c r="V20" s="352"/>
      <c r="W20" s="352"/>
      <c r="X20" s="352"/>
      <c r="Y20" s="352"/>
      <c r="Z20" s="352"/>
      <c r="AA20" s="352"/>
      <c r="AB20" s="93"/>
      <c r="AE20" s="132"/>
      <c r="AF20" s="132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G20" s="3"/>
      <c r="BJ20" s="3"/>
      <c r="BM20" s="3"/>
    </row>
    <row r="21" spans="1:74" ht="15.75" customHeight="1" x14ac:dyDescent="0.3">
      <c r="A21" s="94"/>
      <c r="B21" s="246">
        <f>VLOOKUP(E17,$AG$39:$AH$99,2,0)</f>
        <v>4200000</v>
      </c>
      <c r="C21" s="60"/>
      <c r="D21" s="60"/>
      <c r="E21" s="587" t="str">
        <f>IF(E17&lt;=2,"** Descuento de 100% en Cuotas de Administración en los Anticipados pagados dentro de los primeros 60 días de contratar.","** La Cuota de Administración tiene una reducción de 50% en Cuotas Anticipadas de acuerdo a contrato en etapa INTEGRANTE.")</f>
        <v>** Descuento de 100% en Cuotas de Administración en los Anticipados pagados dentro de los primeros 60 días de contratar.</v>
      </c>
      <c r="F21" s="587"/>
      <c r="G21" s="587"/>
      <c r="H21" s="588"/>
      <c r="I21" s="592" t="s">
        <v>49</v>
      </c>
      <c r="J21" s="124" t="s">
        <v>15</v>
      </c>
      <c r="K21" s="125">
        <f>K17/E17</f>
        <v>32254.133333333331</v>
      </c>
      <c r="L21" s="107"/>
      <c r="M21" s="107"/>
      <c r="N21" s="107"/>
      <c r="O21" s="107"/>
      <c r="P21" s="73"/>
      <c r="Q21" s="346" t="s">
        <v>138</v>
      </c>
      <c r="R21" s="254">
        <v>1</v>
      </c>
      <c r="S21" s="172">
        <f>R21*5%</f>
        <v>0.05</v>
      </c>
      <c r="T21" s="173">
        <f>IF(AH25=TRUE,BH29*R21,0)</f>
        <v>0</v>
      </c>
      <c r="U21" s="352"/>
      <c r="V21" s="352"/>
      <c r="W21" s="352"/>
      <c r="X21" s="352"/>
      <c r="Y21" s="352"/>
      <c r="Z21" s="352"/>
      <c r="AA21" s="352"/>
      <c r="AB21" s="100"/>
      <c r="AE21" s="132"/>
      <c r="AF21" s="132"/>
      <c r="AG21" s="3"/>
      <c r="AH21" s="183" t="s">
        <v>71</v>
      </c>
      <c r="AI21" s="184"/>
      <c r="AJ21" s="185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E21"/>
      <c r="BF21"/>
      <c r="BG21" s="3"/>
      <c r="BH21"/>
      <c r="BI21"/>
      <c r="BJ21" s="3"/>
      <c r="BK21"/>
      <c r="BL21"/>
      <c r="BM21" s="3"/>
    </row>
    <row r="22" spans="1:74" ht="15.75" customHeight="1" x14ac:dyDescent="0.25">
      <c r="A22" s="94"/>
      <c r="B22" s="60"/>
      <c r="C22" s="60"/>
      <c r="D22" s="62"/>
      <c r="E22" s="587"/>
      <c r="F22" s="587"/>
      <c r="G22" s="587"/>
      <c r="H22" s="588"/>
      <c r="I22" s="593"/>
      <c r="J22" s="102" t="s">
        <v>56</v>
      </c>
      <c r="K22" s="103">
        <f>K18/E18</f>
        <v>23333.333333333332</v>
      </c>
      <c r="L22" s="107"/>
      <c r="M22" s="107"/>
      <c r="N22" s="107"/>
      <c r="O22" s="107"/>
      <c r="P22" s="73"/>
      <c r="Q22" s="346" t="s">
        <v>88</v>
      </c>
      <c r="R22" s="171"/>
      <c r="S22" s="172">
        <v>0.05</v>
      </c>
      <c r="T22" s="173">
        <f>IF(AH26=TRUE,BH30,0)</f>
        <v>0</v>
      </c>
      <c r="U22" s="352"/>
      <c r="V22" s="352"/>
      <c r="W22" s="352"/>
      <c r="X22" s="352"/>
      <c r="Y22" s="352"/>
      <c r="Z22" s="352"/>
      <c r="AA22" s="352"/>
      <c r="AB22" s="100"/>
      <c r="AC22" s="136"/>
      <c r="AE22" s="136"/>
      <c r="AF22" s="136"/>
      <c r="AH22" s="186" t="b">
        <f>'Resumen Flex'!U29</f>
        <v>0</v>
      </c>
      <c r="AI22" s="182"/>
      <c r="AJ22" s="187" t="b">
        <f>IF(AH23=TRUE,FALSE,IF(AH22=TRUE,TRUE,FALSE))</f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E22"/>
      <c r="BF22"/>
      <c r="BG22" s="3"/>
      <c r="BH22"/>
      <c r="BI22"/>
      <c r="BJ22" s="3"/>
      <c r="BK22"/>
      <c r="BL22"/>
      <c r="BM22" s="3"/>
    </row>
    <row r="23" spans="1:74" ht="15.75" customHeight="1" x14ac:dyDescent="0.25">
      <c r="A23" s="94"/>
      <c r="B23" s="123"/>
      <c r="C23" s="60"/>
      <c r="D23" s="62"/>
      <c r="E23" s="255" t="s">
        <v>90</v>
      </c>
      <c r="F23" s="256"/>
      <c r="G23" s="256">
        <f>IF(E17&lt;=2,B7*G15/2*E18,0)</f>
        <v>173460</v>
      </c>
      <c r="H23" s="257"/>
      <c r="I23" s="105"/>
      <c r="J23" s="106"/>
      <c r="K23" s="107"/>
      <c r="L23" s="107"/>
      <c r="M23" s="107"/>
      <c r="N23" s="107"/>
      <c r="O23" s="107"/>
      <c r="P23" s="62"/>
      <c r="Q23" s="62"/>
      <c r="R23" s="62"/>
      <c r="S23" s="62"/>
      <c r="T23" s="201">
        <f>SUM(T18:T22)</f>
        <v>0</v>
      </c>
      <c r="U23" s="353"/>
      <c r="V23" s="352"/>
      <c r="W23" s="352"/>
      <c r="X23" s="352"/>
      <c r="Y23" s="352"/>
      <c r="Z23" s="352"/>
      <c r="AA23" s="352"/>
      <c r="AB23" s="100"/>
      <c r="AC23" s="136"/>
      <c r="AE23" s="136"/>
      <c r="AF23" s="136"/>
      <c r="AG23" s="3"/>
      <c r="AH23" s="186" t="b">
        <v>0</v>
      </c>
      <c r="AI23" s="182"/>
      <c r="AJ23" s="187" t="b">
        <f>IF(AH22=TRUE,FALSE,IF(AH23=TRUE,TRUE,FALSE))</f>
        <v>0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98"/>
      <c r="BA23" s="333"/>
      <c r="BB23" s="333"/>
      <c r="BC23" s="319"/>
      <c r="BE23" s="333"/>
      <c r="BF23" s="320"/>
      <c r="BG23" s="320"/>
      <c r="BH23" s="320"/>
      <c r="BI23"/>
      <c r="BJ23"/>
      <c r="BK23"/>
      <c r="BL23"/>
      <c r="BM23" s="3"/>
    </row>
    <row r="24" spans="1:74" ht="15.75" customHeight="1" x14ac:dyDescent="0.25">
      <c r="A24" s="94"/>
      <c r="B24" s="78"/>
      <c r="C24" s="60"/>
      <c r="D24" s="60"/>
      <c r="E24" s="114"/>
      <c r="F24" s="114"/>
      <c r="G24" s="180"/>
      <c r="H24" s="114"/>
      <c r="I24" s="105"/>
      <c r="J24" s="106"/>
      <c r="K24" s="107"/>
      <c r="L24" s="107"/>
      <c r="M24" s="107"/>
      <c r="N24" s="107"/>
      <c r="O24" s="107"/>
      <c r="P24" s="73"/>
      <c r="Q24" s="584" t="s">
        <v>73</v>
      </c>
      <c r="R24" s="584"/>
      <c r="S24" s="584"/>
      <c r="T24" s="584"/>
      <c r="U24" s="351"/>
      <c r="V24" s="353"/>
      <c r="W24" s="353"/>
      <c r="X24" s="353"/>
      <c r="Y24" s="353"/>
      <c r="Z24" s="353"/>
      <c r="AA24" s="353"/>
      <c r="AB24" s="100"/>
      <c r="AC24" s="132"/>
      <c r="AD24" s="132"/>
      <c r="AE24" s="136"/>
      <c r="AF24" s="136"/>
      <c r="AG24" s="3"/>
      <c r="AH24" s="186" t="b">
        <f>'Resumen Flex'!U30</f>
        <v>0</v>
      </c>
      <c r="AI24" s="182"/>
      <c r="AJ24" s="188"/>
      <c r="AK24" s="3"/>
      <c r="AL24" s="3"/>
      <c r="AM24" s="97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98"/>
      <c r="AZ24" s="333"/>
      <c r="BA24" s="333"/>
      <c r="BB24" s="333"/>
      <c r="BC24" s="98"/>
      <c r="BD24" s="333"/>
      <c r="BE24" s="333"/>
      <c r="BF24" s="320"/>
      <c r="BG24" s="320"/>
      <c r="BH24" s="320"/>
      <c r="BI24"/>
      <c r="BJ24"/>
      <c r="BK24"/>
      <c r="BL24"/>
      <c r="BM24" s="3"/>
    </row>
    <row r="25" spans="1:74" ht="15.75" customHeight="1" x14ac:dyDescent="0.25">
      <c r="A25" s="94"/>
      <c r="B25" s="60"/>
      <c r="C25" s="60"/>
      <c r="D25" s="60"/>
      <c r="E25" s="114"/>
      <c r="F25" s="114"/>
      <c r="G25" s="114"/>
      <c r="H25" s="114"/>
      <c r="I25" s="105"/>
      <c r="J25" s="106"/>
      <c r="K25" s="72"/>
      <c r="L25" s="72"/>
      <c r="M25" s="72"/>
      <c r="N25" s="72"/>
      <c r="O25" s="72"/>
      <c r="P25" s="73"/>
      <c r="Q25" s="177" t="s">
        <v>125</v>
      </c>
      <c r="R25" s="176"/>
      <c r="S25" s="176"/>
      <c r="T25" s="176"/>
      <c r="U25" s="176"/>
      <c r="V25" s="351"/>
      <c r="W25" s="351"/>
      <c r="X25" s="351"/>
      <c r="Y25" s="351"/>
      <c r="Z25" s="351"/>
      <c r="AA25" s="351"/>
      <c r="AB25" s="100"/>
      <c r="AC25" s="133"/>
      <c r="AD25" s="133"/>
      <c r="AE25" s="136"/>
      <c r="AF25" s="136"/>
      <c r="AG25" s="3"/>
      <c r="AH25" s="186" t="b">
        <v>0</v>
      </c>
      <c r="AI25" s="182"/>
      <c r="AJ25" s="188"/>
      <c r="AK25" s="3"/>
      <c r="AL25" s="3"/>
      <c r="AM25" s="118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98"/>
      <c r="AZ25" s="334" t="s">
        <v>77</v>
      </c>
      <c r="BD25" s="335" t="s">
        <v>78</v>
      </c>
      <c r="BI25"/>
      <c r="BJ25" s="203"/>
      <c r="BK25" s="202"/>
      <c r="BL25"/>
      <c r="BM25" s="3"/>
    </row>
    <row r="26" spans="1:74" ht="18" thickBot="1" x14ac:dyDescent="0.35">
      <c r="A26" s="94"/>
      <c r="B26" s="219" t="s">
        <v>131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61"/>
      <c r="N26" s="61"/>
      <c r="O26" s="61"/>
      <c r="P26" s="73"/>
      <c r="Q26" s="218" t="s">
        <v>68</v>
      </c>
      <c r="R26" s="178"/>
      <c r="S26" s="172">
        <v>0.1</v>
      </c>
      <c r="T26" s="175"/>
      <c r="U26" s="175"/>
      <c r="V26" s="176"/>
      <c r="W26" s="176"/>
      <c r="X26" s="176"/>
      <c r="Y26" s="176"/>
      <c r="Z26" s="176"/>
      <c r="AA26" s="176"/>
      <c r="AB26" s="100"/>
      <c r="AC26" s="132"/>
      <c r="AD26" s="132"/>
      <c r="AE26" s="136"/>
      <c r="AF26" s="136"/>
      <c r="AG26" s="3"/>
      <c r="AH26" s="186" t="b">
        <v>0</v>
      </c>
      <c r="AI26" s="182"/>
      <c r="AJ26" s="188"/>
      <c r="AK26" s="3"/>
      <c r="AL26" s="7"/>
      <c r="AM26" s="118"/>
      <c r="AN26" s="3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327"/>
      <c r="AZ26" s="328"/>
      <c r="BA26" s="322" t="s">
        <v>65</v>
      </c>
      <c r="BB26" s="323">
        <f>IF(AJ22=TRUE,5%,0)</f>
        <v>0</v>
      </c>
      <c r="BC26" s="98"/>
      <c r="BD26" s="324" t="s">
        <v>87</v>
      </c>
      <c r="BE26" s="321"/>
      <c r="BF26" s="320"/>
      <c r="BG26" s="325">
        <v>0.05</v>
      </c>
      <c r="BH26" s="326">
        <f>SUM(BH39:BH158)</f>
        <v>49134.75327856552</v>
      </c>
      <c r="BI26"/>
      <c r="BJ26" s="205"/>
      <c r="BK26" s="202"/>
      <c r="BL26"/>
      <c r="BM26" s="3"/>
    </row>
    <row r="27" spans="1:74" ht="15.75" customHeight="1" thickTop="1" x14ac:dyDescent="0.25">
      <c r="A27" s="94"/>
      <c r="B27" s="60"/>
      <c r="C27" s="60"/>
      <c r="D27" s="62"/>
      <c r="E27" s="62"/>
      <c r="F27" s="65"/>
      <c r="G27" s="60"/>
      <c r="H27" s="65"/>
      <c r="I27" s="60"/>
      <c r="J27" s="60"/>
      <c r="K27" s="73"/>
      <c r="L27" s="73"/>
      <c r="M27" s="73"/>
      <c r="N27" s="73"/>
      <c r="O27" s="73"/>
      <c r="P27" s="63"/>
      <c r="Q27" s="218" t="s">
        <v>69</v>
      </c>
      <c r="R27" s="178"/>
      <c r="S27" s="172">
        <v>0.2</v>
      </c>
      <c r="T27" s="206">
        <f>IF(AH27=TRUE,BK36,0)</f>
        <v>0</v>
      </c>
      <c r="U27" s="353"/>
      <c r="V27" s="175"/>
      <c r="W27" s="175"/>
      <c r="X27" s="175"/>
      <c r="Y27" s="175"/>
      <c r="Z27" s="175"/>
      <c r="AA27" s="175"/>
      <c r="AB27" s="100"/>
      <c r="AC27" s="132"/>
      <c r="AD27" s="132"/>
      <c r="AE27" s="136"/>
      <c r="AF27" s="136"/>
      <c r="AG27" s="7"/>
      <c r="AH27" s="189" t="b">
        <f>'Resumen Flex'!U42</f>
        <v>0</v>
      </c>
      <c r="AI27" s="190"/>
      <c r="AJ27" s="191"/>
      <c r="AK27" s="3"/>
      <c r="AL27" s="3"/>
      <c r="AM27" s="119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98"/>
      <c r="AZ27" s="321"/>
      <c r="BA27" s="322" t="s">
        <v>64</v>
      </c>
      <c r="BB27" s="329">
        <f>IF(AJ23=TRUE,2.5%,0)</f>
        <v>0</v>
      </c>
      <c r="BC27" s="98"/>
      <c r="BD27" s="322" t="s">
        <v>68</v>
      </c>
      <c r="BE27" s="323">
        <f>IF(AH27=TRUE,10%,0)</f>
        <v>0</v>
      </c>
      <c r="BF27" s="320"/>
      <c r="BG27" s="330">
        <v>2.5000000000000001E-2</v>
      </c>
      <c r="BH27" s="326">
        <f>SUM(BH39:BH158)/2</f>
        <v>24567.37663928276</v>
      </c>
      <c r="BI27"/>
      <c r="BJ27" s="203"/>
      <c r="BK27" s="202"/>
      <c r="BL27"/>
      <c r="BM27" s="3"/>
      <c r="BN27" s="115" t="s">
        <v>32</v>
      </c>
      <c r="BO27" s="116"/>
      <c r="BP27" s="116"/>
      <c r="BQ27" s="116"/>
      <c r="BR27" s="116"/>
      <c r="BS27" s="193"/>
      <c r="BT27" s="193"/>
      <c r="BU27" s="115"/>
    </row>
    <row r="28" spans="1:74" ht="15.75" customHeight="1" x14ac:dyDescent="0.25">
      <c r="A28" s="94"/>
      <c r="B28" s="60"/>
      <c r="C28" s="60"/>
      <c r="D28" s="62"/>
      <c r="E28" s="62"/>
      <c r="F28" s="65"/>
      <c r="G28" s="60"/>
      <c r="H28" s="65"/>
      <c r="I28" s="60"/>
      <c r="J28" s="60"/>
      <c r="K28" s="73"/>
      <c r="L28" s="73"/>
      <c r="M28" s="73"/>
      <c r="N28" s="73"/>
      <c r="O28" s="73"/>
      <c r="P28" s="63"/>
      <c r="Q28" s="218" t="s">
        <v>70</v>
      </c>
      <c r="R28" s="178"/>
      <c r="S28" s="172">
        <v>0.25</v>
      </c>
      <c r="T28" s="176"/>
      <c r="U28" s="176"/>
      <c r="V28" s="353"/>
      <c r="W28" s="353"/>
      <c r="X28" s="353"/>
      <c r="Y28" s="353"/>
      <c r="Z28" s="353"/>
      <c r="AA28" s="353"/>
      <c r="AB28" s="100"/>
      <c r="AC28" s="132"/>
      <c r="AD28" s="132"/>
      <c r="AE28" s="136"/>
      <c r="AF28" s="136"/>
      <c r="AG28" s="7"/>
      <c r="AH28"/>
      <c r="AI28"/>
      <c r="AJ28"/>
      <c r="AK28" s="3"/>
      <c r="AL28" s="3"/>
      <c r="AM28" s="119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98"/>
      <c r="AZ28" s="321"/>
      <c r="BA28" s="322" t="s">
        <v>74</v>
      </c>
      <c r="BB28" s="323">
        <f>IF(AH24=TRUE,5%,0)</f>
        <v>0</v>
      </c>
      <c r="BC28" s="98"/>
      <c r="BD28" s="322" t="s">
        <v>69</v>
      </c>
      <c r="BE28" s="323">
        <f>IF(AH27=TRUE,20%,0)</f>
        <v>0</v>
      </c>
      <c r="BF28" s="320"/>
      <c r="BG28" s="325">
        <v>0.05</v>
      </c>
      <c r="BH28" s="326">
        <f>SUM(BH39:BH158)</f>
        <v>49134.75327856552</v>
      </c>
      <c r="BI28"/>
      <c r="BJ28" s="203"/>
      <c r="BK28" s="202"/>
      <c r="BL28"/>
      <c r="BM28" s="3"/>
      <c r="BN28" s="15" t="s">
        <v>2</v>
      </c>
      <c r="BO28" s="15" t="s">
        <v>25</v>
      </c>
      <c r="BP28" s="15">
        <f>E17</f>
        <v>1</v>
      </c>
      <c r="BQ28" s="3"/>
      <c r="BR28" s="11"/>
      <c r="BU28" s="192" t="s">
        <v>26</v>
      </c>
    </row>
    <row r="29" spans="1:74" ht="15.75" customHeight="1" x14ac:dyDescent="0.25">
      <c r="A29" s="94"/>
      <c r="B29" s="370" t="s">
        <v>133</v>
      </c>
      <c r="C29" s="370"/>
      <c r="D29" s="83">
        <v>9.9000000000000005E-2</v>
      </c>
      <c r="E29" s="84">
        <v>0.04</v>
      </c>
      <c r="F29" s="62"/>
      <c r="G29" s="60"/>
      <c r="H29" s="60"/>
      <c r="I29" s="62"/>
      <c r="J29" s="62"/>
      <c r="K29" s="62"/>
      <c r="L29" s="62"/>
      <c r="M29" s="73"/>
      <c r="N29" s="73"/>
      <c r="O29" s="73"/>
      <c r="P29" s="63"/>
      <c r="Q29" s="179"/>
      <c r="R29" s="171"/>
      <c r="S29" s="172"/>
      <c r="T29" s="173"/>
      <c r="U29" s="352"/>
      <c r="V29" s="176"/>
      <c r="W29" s="176"/>
      <c r="X29" s="176"/>
      <c r="Y29" s="176"/>
      <c r="Z29" s="176"/>
      <c r="AA29" s="176"/>
      <c r="AB29" s="100"/>
      <c r="AC29" s="132"/>
      <c r="AD29" s="132"/>
      <c r="AE29" s="136"/>
      <c r="AF29" s="136"/>
      <c r="AH29"/>
      <c r="AI29"/>
      <c r="AJ29"/>
      <c r="AK29" s="3"/>
      <c r="AL29" s="3"/>
      <c r="AM29" s="96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98"/>
      <c r="AZ29" s="321"/>
      <c r="BA29" s="322" t="s">
        <v>75</v>
      </c>
      <c r="BB29" s="323">
        <f>IF(AH25=TRUE,S21,0)</f>
        <v>0</v>
      </c>
      <c r="BC29" s="98"/>
      <c r="BD29" s="322" t="s">
        <v>70</v>
      </c>
      <c r="BE29" s="323">
        <f>IF(AH27=TRUE,25%,0)</f>
        <v>0</v>
      </c>
      <c r="BF29" s="320"/>
      <c r="BG29" s="325">
        <v>0.05</v>
      </c>
      <c r="BH29" s="326">
        <f>SUM(BH39:BH50)</f>
        <v>4092.4799999999996</v>
      </c>
      <c r="BI29"/>
      <c r="BJ29" s="203"/>
      <c r="BK29" s="202"/>
      <c r="BL29"/>
      <c r="BM29" s="3"/>
      <c r="BN29" s="2" t="s">
        <v>18</v>
      </c>
      <c r="BO29" s="9" t="s">
        <v>21</v>
      </c>
      <c r="BP29" s="9" t="s">
        <v>22</v>
      </c>
      <c r="BQ29" s="9" t="s">
        <v>23</v>
      </c>
      <c r="BR29" s="9" t="s">
        <v>4</v>
      </c>
      <c r="BU29" s="192" t="s">
        <v>24</v>
      </c>
      <c r="BV29" s="192" t="s">
        <v>36</v>
      </c>
    </row>
    <row r="30" spans="1:74" ht="15.75" customHeight="1" x14ac:dyDescent="0.25">
      <c r="A30" s="94"/>
      <c r="B30" s="62"/>
      <c r="C30" s="62"/>
      <c r="D30" s="82" t="s">
        <v>59</v>
      </c>
      <c r="E30" s="82" t="s">
        <v>83</v>
      </c>
      <c r="F30" s="62"/>
      <c r="G30" s="62"/>
      <c r="H30" s="62"/>
      <c r="I30" s="591" t="s">
        <v>5</v>
      </c>
      <c r="J30" s="591"/>
      <c r="K30" s="295">
        <v>1.4</v>
      </c>
      <c r="L30" s="295" t="s">
        <v>117</v>
      </c>
      <c r="M30" s="294" t="s">
        <v>118</v>
      </c>
      <c r="N30" s="73"/>
      <c r="O30" s="73"/>
      <c r="P30" s="73"/>
      <c r="Q30" s="117" t="s">
        <v>115</v>
      </c>
      <c r="R30" s="126"/>
      <c r="S30" s="126"/>
      <c r="T30" s="126"/>
      <c r="U30" s="62"/>
      <c r="V30" s="352"/>
      <c r="W30" s="352"/>
      <c r="X30" s="352"/>
      <c r="Y30" s="352"/>
      <c r="Z30" s="352"/>
      <c r="AA30" s="352"/>
      <c r="AB30" s="100"/>
      <c r="AE30" s="136"/>
      <c r="AF30" s="136"/>
      <c r="AG30" s="3"/>
      <c r="AK30" s="3"/>
      <c r="AL30" s="3"/>
      <c r="AM30" s="97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98"/>
      <c r="AZ30" s="321"/>
      <c r="BA30" s="322" t="s">
        <v>67</v>
      </c>
      <c r="BB30" s="339">
        <f>IF(AH26=TRUE,5%,0)</f>
        <v>0</v>
      </c>
      <c r="BC30" s="98"/>
      <c r="BD30" s="98"/>
      <c r="BE30" s="98"/>
      <c r="BF30" s="98"/>
      <c r="BG30" s="325">
        <v>0.05</v>
      </c>
      <c r="BH30" s="338">
        <f>SUM(BH39:BH158)</f>
        <v>49134.75327856552</v>
      </c>
      <c r="BI30" s="3"/>
      <c r="BJ30" s="203"/>
      <c r="BK30" s="202"/>
      <c r="BL30" s="3"/>
      <c r="BM30" s="3"/>
      <c r="BN30" s="11">
        <f>VLOOKUP(E17,BM39:BR98,2,0)*E18</f>
        <v>1376666.6666666665</v>
      </c>
      <c r="BO30" s="11">
        <f>VLOOKUP(E17,BM39:BR98,3,0)/2*E18</f>
        <v>173460</v>
      </c>
      <c r="BP30" s="11">
        <f>BO30*0.16</f>
        <v>27753.600000000002</v>
      </c>
      <c r="BQ30" s="3"/>
      <c r="BR30" s="6">
        <f>SUM(BN30:BQ30)</f>
        <v>1577880.2666666666</v>
      </c>
      <c r="BU30" s="6">
        <f>VLOOKUP(E17,BT39:BY98,6,0)</f>
        <v>32254.133333333331</v>
      </c>
      <c r="BV30" s="2">
        <f>E17</f>
        <v>1</v>
      </c>
    </row>
    <row r="31" spans="1:74" ht="15.75" customHeight="1" x14ac:dyDescent="0.3">
      <c r="A31" s="94"/>
      <c r="B31" s="60"/>
      <c r="C31" s="60"/>
      <c r="D31" s="82" t="s">
        <v>3</v>
      </c>
      <c r="E31" s="82" t="s">
        <v>106</v>
      </c>
      <c r="F31" s="287" t="s">
        <v>116</v>
      </c>
      <c r="G31" s="60"/>
      <c r="H31" s="60"/>
      <c r="I31" s="62"/>
      <c r="J31" s="60"/>
      <c r="K31" s="62"/>
      <c r="L31" s="62"/>
      <c r="M31" s="62"/>
      <c r="N31" s="62"/>
      <c r="O31" s="62"/>
      <c r="P31" s="62"/>
      <c r="Q31" s="117" t="s">
        <v>139</v>
      </c>
      <c r="R31" s="108"/>
      <c r="S31" s="62"/>
      <c r="T31" s="62"/>
      <c r="U31" s="62"/>
      <c r="V31" s="62"/>
      <c r="W31" s="62"/>
      <c r="X31" s="62"/>
      <c r="Y31" s="62"/>
      <c r="Z31" s="62"/>
      <c r="AA31" s="62"/>
      <c r="AB31" s="100"/>
      <c r="AE31" s="136"/>
      <c r="AF31" s="136"/>
      <c r="AK31" s="3"/>
      <c r="AL31" s="3"/>
      <c r="AM31" s="118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98"/>
      <c r="AZ31" s="321"/>
      <c r="BA31" s="331" t="s">
        <v>76</v>
      </c>
      <c r="BB31" s="318">
        <f>SUM(BB26:BB30)</f>
        <v>0</v>
      </c>
      <c r="BC31" s="98"/>
      <c r="BD31" s="98"/>
      <c r="BE31" s="98"/>
      <c r="BF31" s="98"/>
      <c r="BG31" s="332"/>
      <c r="BH31" s="337">
        <f>SUM(BH26:BH30)</f>
        <v>176064.11647497932</v>
      </c>
      <c r="BI31" s="3"/>
      <c r="BJ31" s="204"/>
      <c r="BK31" s="11"/>
      <c r="BL31" s="3"/>
    </row>
    <row r="32" spans="1:74" ht="15.75" customHeight="1" x14ac:dyDescent="0.25">
      <c r="A32" s="94"/>
      <c r="B32" s="60"/>
      <c r="C32" s="60"/>
      <c r="D32" s="60"/>
      <c r="E32" s="62"/>
      <c r="F32" s="60"/>
      <c r="G32" s="60"/>
      <c r="H32" s="356"/>
      <c r="I32" s="60"/>
      <c r="J32" s="73"/>
      <c r="K32" s="73"/>
      <c r="L32" s="70"/>
      <c r="M32" s="70"/>
      <c r="N32" s="70"/>
      <c r="O32" s="73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100"/>
      <c r="AE32" s="132"/>
      <c r="AF32" s="132"/>
      <c r="AK32" s="3"/>
      <c r="AL32" s="3"/>
      <c r="AM32" s="118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C32" s="3"/>
      <c r="BD32" s="3"/>
      <c r="BE32" s="3"/>
      <c r="BF32" s="3"/>
      <c r="BH32" s="3"/>
      <c r="BI32" s="3"/>
      <c r="BK32" s="11"/>
      <c r="BL32" s="3"/>
      <c r="BM32" s="3"/>
    </row>
    <row r="33" spans="1:77" ht="15.75" customHeight="1" x14ac:dyDescent="0.3">
      <c r="A33" s="94"/>
      <c r="B33" s="247" t="s">
        <v>46</v>
      </c>
      <c r="C33" s="248"/>
      <c r="D33" s="249">
        <f>SUM(D39:D98,J39:J98,Q39:Q98,W39:W98)</f>
        <v>6158350.155893351</v>
      </c>
      <c r="E33" s="357">
        <f>D33/(B21-K19)</f>
        <v>2.206440489361015</v>
      </c>
      <c r="F33" s="224"/>
      <c r="G33" s="70"/>
      <c r="H33" s="355"/>
      <c r="I33" s="87"/>
      <c r="J33" s="63"/>
      <c r="K33" s="63"/>
      <c r="L33" s="70"/>
      <c r="M33" s="70"/>
      <c r="N33" s="70"/>
      <c r="O33" s="63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100"/>
      <c r="AE33" s="133"/>
      <c r="AF33" s="133"/>
      <c r="AG33" s="7"/>
      <c r="AH33"/>
      <c r="AI33"/>
      <c r="AJ33"/>
      <c r="AK33" s="3"/>
      <c r="AL33" s="3"/>
      <c r="AM33" s="119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C33" s="3"/>
      <c r="BD33" s="3"/>
      <c r="BE33" s="3"/>
      <c r="BF33" s="3"/>
      <c r="BH33" s="3"/>
      <c r="BI33" s="3"/>
      <c r="BK33" s="3"/>
      <c r="BL33" s="3"/>
      <c r="BM33" s="3"/>
      <c r="BO33" s="8"/>
    </row>
    <row r="34" spans="1:77" s="96" customFormat="1" ht="15.75" customHeight="1" x14ac:dyDescent="0.25">
      <c r="A34" s="217"/>
      <c r="B34" s="359"/>
      <c r="C34" s="63"/>
      <c r="D34" s="360"/>
      <c r="E34" s="358" t="s">
        <v>128</v>
      </c>
      <c r="F34" s="364" t="s">
        <v>130</v>
      </c>
      <c r="G34" s="70"/>
      <c r="H34" s="70"/>
      <c r="I34" s="70"/>
      <c r="J34" s="63"/>
      <c r="K34" s="63"/>
      <c r="L34" s="63"/>
      <c r="M34" s="63"/>
      <c r="N34" s="63"/>
      <c r="O34" s="258"/>
      <c r="P34" s="126"/>
      <c r="Q34" s="126"/>
      <c r="R34" s="70"/>
      <c r="S34" s="126"/>
      <c r="T34" s="126"/>
      <c r="U34" s="62"/>
      <c r="V34" s="62"/>
      <c r="W34" s="62"/>
      <c r="X34" s="62"/>
      <c r="Y34" s="62"/>
      <c r="Z34" s="62"/>
      <c r="AA34" s="62"/>
      <c r="AB34" s="100"/>
      <c r="AE34" s="132"/>
      <c r="AF34" s="132"/>
      <c r="AG34" s="10"/>
      <c r="AK34" s="3"/>
      <c r="AL34" s="577" t="s">
        <v>48</v>
      </c>
      <c r="AM34" s="577"/>
      <c r="AN34" s="577"/>
      <c r="AO34" s="577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10"/>
      <c r="BC34" s="3"/>
      <c r="BD34" s="3"/>
      <c r="BE34" s="336"/>
      <c r="BF34" s="3"/>
      <c r="BG34" s="3"/>
      <c r="BH34" s="336"/>
      <c r="BI34" s="3"/>
      <c r="BJ34" s="3"/>
      <c r="BK34" s="336"/>
      <c r="BL34" s="3"/>
      <c r="BM34" s="3"/>
      <c r="BN34" s="3"/>
      <c r="BO34" s="3"/>
      <c r="BP34" s="3"/>
      <c r="BQ34" s="3"/>
      <c r="BR34" s="3"/>
      <c r="BS34" s="1"/>
      <c r="BT34" s="1"/>
      <c r="BU34" s="1"/>
      <c r="BV34" s="1"/>
      <c r="BW34" s="1"/>
      <c r="BX34" s="1"/>
      <c r="BY34" s="1"/>
    </row>
    <row r="35" spans="1:77" s="96" customFormat="1" ht="15.75" customHeight="1" x14ac:dyDescent="0.25">
      <c r="A35" s="217"/>
      <c r="B35" s="359"/>
      <c r="C35" s="63"/>
      <c r="D35" s="360"/>
      <c r="E35" s="364" t="s">
        <v>129</v>
      </c>
      <c r="F35" s="63"/>
      <c r="G35" s="70"/>
      <c r="H35" s="70"/>
      <c r="I35" s="70"/>
      <c r="J35" s="63"/>
      <c r="K35" s="63"/>
      <c r="L35" s="63"/>
      <c r="M35" s="63"/>
      <c r="N35" s="63"/>
      <c r="O35" s="258"/>
      <c r="P35" s="126"/>
      <c r="Q35" s="126"/>
      <c r="R35" s="70"/>
      <c r="S35" s="126"/>
      <c r="T35" s="126"/>
      <c r="U35" s="62"/>
      <c r="V35" s="62"/>
      <c r="W35" s="62"/>
      <c r="X35" s="62"/>
      <c r="Y35" s="62"/>
      <c r="Z35" s="62"/>
      <c r="AA35" s="62"/>
      <c r="AB35" s="100"/>
      <c r="AE35" s="132"/>
      <c r="AF35" s="132"/>
      <c r="AG35" s="10"/>
      <c r="AK35" s="3"/>
      <c r="AL35" s="577" t="s">
        <v>48</v>
      </c>
      <c r="AM35" s="577"/>
      <c r="AN35" s="577"/>
      <c r="AO35" s="577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10"/>
      <c r="BC35" s="3"/>
      <c r="BD35" s="3"/>
      <c r="BL35" s="3"/>
      <c r="BM35" s="3"/>
      <c r="BN35" s="3"/>
      <c r="BO35" s="3"/>
      <c r="BP35" s="3"/>
      <c r="BQ35" s="3"/>
      <c r="BR35" s="3"/>
      <c r="BS35" s="1"/>
      <c r="BT35" s="1"/>
      <c r="BU35" s="1"/>
      <c r="BV35" s="1"/>
      <c r="BW35" s="1"/>
      <c r="BX35" s="1"/>
      <c r="BY35" s="1"/>
    </row>
    <row r="36" spans="1:77" s="96" customFormat="1" ht="15.75" customHeight="1" x14ac:dyDescent="0.25">
      <c r="A36" s="217"/>
      <c r="B36" s="216"/>
      <c r="C36" s="85"/>
      <c r="D36" s="122"/>
      <c r="E36" s="361"/>
      <c r="F36" s="85"/>
      <c r="G36" s="121"/>
      <c r="H36" s="121"/>
      <c r="I36" s="121"/>
      <c r="J36" s="85"/>
      <c r="K36" s="85"/>
      <c r="L36" s="85"/>
      <c r="M36" s="85"/>
      <c r="N36" s="85"/>
      <c r="O36" s="362"/>
      <c r="P36" s="363"/>
      <c r="Q36" s="363"/>
      <c r="R36" s="121"/>
      <c r="S36" s="126"/>
      <c r="T36" s="126"/>
      <c r="U36" s="62"/>
      <c r="V36" s="62"/>
      <c r="W36" s="62"/>
      <c r="X36" s="62"/>
      <c r="Y36" s="62"/>
      <c r="Z36" s="62"/>
      <c r="AA36" s="62"/>
      <c r="AB36" s="100"/>
      <c r="AE36" s="132"/>
      <c r="AF36" s="132"/>
      <c r="AG36" s="10"/>
      <c r="AK36" s="3"/>
      <c r="AL36" s="214"/>
      <c r="AM36" s="214"/>
      <c r="AN36" s="214"/>
      <c r="AO36" s="214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10"/>
      <c r="BC36" s="3"/>
      <c r="BD36" s="3"/>
      <c r="BE36" s="336">
        <f>SUM(BE39:BE158)</f>
        <v>4344405.0599997239</v>
      </c>
      <c r="BF36" s="3"/>
      <c r="BG36" s="3"/>
      <c r="BH36" s="336">
        <f>SUM(BH39:BH158)</f>
        <v>49134.75327856552</v>
      </c>
      <c r="BI36" s="3"/>
      <c r="BJ36" s="3"/>
      <c r="BK36" s="336">
        <f>SUM(BK39:BK158)</f>
        <v>0</v>
      </c>
      <c r="BL36" s="3"/>
      <c r="BM36" s="3"/>
      <c r="BN36" s="3"/>
      <c r="BO36" s="3"/>
      <c r="BP36" s="3"/>
      <c r="BQ36" s="3"/>
      <c r="BR36" s="3"/>
      <c r="BS36" s="1"/>
      <c r="BT36" s="1"/>
      <c r="BU36" s="1"/>
      <c r="BV36" s="1"/>
      <c r="BW36" s="1"/>
      <c r="BX36" s="1"/>
      <c r="BY36" s="1"/>
    </row>
    <row r="37" spans="1:77" s="96" customFormat="1" ht="15.75" customHeight="1" x14ac:dyDescent="0.3">
      <c r="A37" s="259"/>
      <c r="B37" s="340" t="s">
        <v>6</v>
      </c>
      <c r="C37" s="342" t="s">
        <v>30</v>
      </c>
      <c r="D37" s="260" t="s">
        <v>7</v>
      </c>
      <c r="E37" s="286" t="s">
        <v>18</v>
      </c>
      <c r="F37" s="286" t="s">
        <v>108</v>
      </c>
      <c r="G37" s="286" t="s">
        <v>110</v>
      </c>
      <c r="H37" s="286" t="s">
        <v>112</v>
      </c>
      <c r="I37" s="286" t="s">
        <v>112</v>
      </c>
      <c r="J37" s="578" t="s">
        <v>204</v>
      </c>
      <c r="K37" s="296" t="s">
        <v>18</v>
      </c>
      <c r="L37" s="296" t="s">
        <v>108</v>
      </c>
      <c r="M37" s="296" t="s">
        <v>110</v>
      </c>
      <c r="N37" s="578" t="s">
        <v>122</v>
      </c>
      <c r="O37" s="340" t="s">
        <v>6</v>
      </c>
      <c r="P37" s="342" t="s">
        <v>30</v>
      </c>
      <c r="Q37" s="260" t="s">
        <v>7</v>
      </c>
      <c r="R37" s="286" t="s">
        <v>18</v>
      </c>
      <c r="S37" s="286" t="s">
        <v>108</v>
      </c>
      <c r="T37" s="286" t="s">
        <v>110</v>
      </c>
      <c r="U37" s="286" t="s">
        <v>112</v>
      </c>
      <c r="V37" s="286" t="s">
        <v>112</v>
      </c>
      <c r="W37" s="578" t="s">
        <v>204</v>
      </c>
      <c r="X37" s="296" t="s">
        <v>18</v>
      </c>
      <c r="Y37" s="296" t="s">
        <v>108</v>
      </c>
      <c r="Z37" s="310" t="s">
        <v>110</v>
      </c>
      <c r="AA37" s="578" t="s">
        <v>122</v>
      </c>
      <c r="AB37" s="312"/>
      <c r="AE37" s="136"/>
      <c r="AF37" s="136"/>
      <c r="AG37" s="52"/>
      <c r="AH37" s="53" t="s">
        <v>9</v>
      </c>
      <c r="AI37" s="56"/>
      <c r="AJ37" s="57" t="s">
        <v>9</v>
      </c>
      <c r="AK37" s="3"/>
      <c r="AL37" s="580" t="s">
        <v>45</v>
      </c>
      <c r="AM37" s="580"/>
      <c r="AN37" s="580"/>
      <c r="AO37" s="580"/>
      <c r="AP37" s="3"/>
      <c r="AQ37" s="575" t="s">
        <v>39</v>
      </c>
      <c r="AR37" s="575"/>
      <c r="AS37" s="575"/>
      <c r="AT37" s="575"/>
      <c r="AU37" s="1"/>
      <c r="AV37" s="575" t="s">
        <v>40</v>
      </c>
      <c r="AW37" s="575"/>
      <c r="AX37" s="576" t="s">
        <v>121</v>
      </c>
      <c r="AY37" s="576"/>
      <c r="AZ37" s="9"/>
      <c r="BA37" s="51"/>
      <c r="BB37" s="51" t="s">
        <v>20</v>
      </c>
      <c r="BC37" s="3"/>
      <c r="BD37" s="301"/>
      <c r="BE37" s="301" t="s">
        <v>44</v>
      </c>
      <c r="BF37"/>
      <c r="BG37" s="298"/>
      <c r="BH37" s="299" t="s">
        <v>91</v>
      </c>
      <c r="BI37"/>
      <c r="BJ37" s="298"/>
      <c r="BK37" s="299" t="s">
        <v>96</v>
      </c>
      <c r="BL37"/>
      <c r="BM37" s="18" t="s">
        <v>8</v>
      </c>
      <c r="BN37" s="20" t="s">
        <v>28</v>
      </c>
      <c r="BO37" s="19"/>
      <c r="BP37" s="19"/>
      <c r="BQ37" s="19"/>
      <c r="BR37" s="27" t="s">
        <v>4</v>
      </c>
      <c r="BS37" s="1"/>
      <c r="BT37" s="24" t="s">
        <v>8</v>
      </c>
      <c r="BU37" s="25" t="s">
        <v>126</v>
      </c>
      <c r="BV37" s="26"/>
      <c r="BW37" s="26"/>
      <c r="BX37" s="26"/>
      <c r="BY37" s="27" t="s">
        <v>20</v>
      </c>
    </row>
    <row r="38" spans="1:77" s="96" customFormat="1" ht="15.6" x14ac:dyDescent="0.3">
      <c r="A38" s="259"/>
      <c r="B38" s="341" t="s">
        <v>10</v>
      </c>
      <c r="C38" s="343" t="s">
        <v>11</v>
      </c>
      <c r="D38" s="261" t="s">
        <v>11</v>
      </c>
      <c r="E38" s="262" t="s">
        <v>107</v>
      </c>
      <c r="F38" s="262" t="s">
        <v>109</v>
      </c>
      <c r="G38" s="262" t="s">
        <v>111</v>
      </c>
      <c r="H38" s="262" t="s">
        <v>113</v>
      </c>
      <c r="I38" s="262" t="s">
        <v>114</v>
      </c>
      <c r="J38" s="579"/>
      <c r="K38" s="297" t="s">
        <v>107</v>
      </c>
      <c r="L38" s="297" t="s">
        <v>109</v>
      </c>
      <c r="M38" s="297" t="s">
        <v>111</v>
      </c>
      <c r="N38" s="579"/>
      <c r="O38" s="341" t="s">
        <v>10</v>
      </c>
      <c r="P38" s="343" t="s">
        <v>11</v>
      </c>
      <c r="Q38" s="261" t="s">
        <v>11</v>
      </c>
      <c r="R38" s="262" t="s">
        <v>107</v>
      </c>
      <c r="S38" s="262" t="s">
        <v>109</v>
      </c>
      <c r="T38" s="262" t="s">
        <v>111</v>
      </c>
      <c r="U38" s="262" t="s">
        <v>113</v>
      </c>
      <c r="V38" s="262" t="s">
        <v>114</v>
      </c>
      <c r="W38" s="579"/>
      <c r="X38" s="297" t="s">
        <v>107</v>
      </c>
      <c r="Y38" s="297" t="s">
        <v>109</v>
      </c>
      <c r="Z38" s="311" t="s">
        <v>111</v>
      </c>
      <c r="AA38" s="579"/>
      <c r="AB38" s="312"/>
      <c r="AE38" s="136"/>
      <c r="AF38" s="136"/>
      <c r="AG38" s="200">
        <v>0</v>
      </c>
      <c r="AH38" s="53" t="s">
        <v>27</v>
      </c>
      <c r="AI38" s="56" t="s">
        <v>8</v>
      </c>
      <c r="AJ38" s="57" t="s">
        <v>29</v>
      </c>
      <c r="AK38" s="3"/>
      <c r="AL38" s="58" t="s">
        <v>8</v>
      </c>
      <c r="AM38" s="58" t="s">
        <v>33</v>
      </c>
      <c r="AN38" s="58" t="s">
        <v>8</v>
      </c>
      <c r="AO38" s="58" t="s">
        <v>33</v>
      </c>
      <c r="AP38" s="3"/>
      <c r="AQ38" s="301" t="s">
        <v>8</v>
      </c>
      <c r="AR38" s="301" t="s">
        <v>34</v>
      </c>
      <c r="AS38" s="301" t="s">
        <v>8</v>
      </c>
      <c r="AT38" s="301" t="s">
        <v>34</v>
      </c>
      <c r="AU38" s="1"/>
      <c r="AV38" s="313" t="s">
        <v>37</v>
      </c>
      <c r="AW38" s="313" t="s">
        <v>38</v>
      </c>
      <c r="AX38" s="313" t="s">
        <v>37</v>
      </c>
      <c r="AY38" s="313" t="s">
        <v>38</v>
      </c>
      <c r="AZ38" s="9"/>
      <c r="BA38" s="51" t="s">
        <v>8</v>
      </c>
      <c r="BB38" s="51" t="s">
        <v>42</v>
      </c>
      <c r="BC38" s="11"/>
      <c r="BD38" s="301" t="s">
        <v>8</v>
      </c>
      <c r="BE38" s="301" t="s">
        <v>42</v>
      </c>
      <c r="BF38"/>
      <c r="BG38" s="298" t="s">
        <v>8</v>
      </c>
      <c r="BH38" s="299" t="s">
        <v>92</v>
      </c>
      <c r="BI38"/>
      <c r="BJ38" s="298" t="s">
        <v>8</v>
      </c>
      <c r="BK38" s="299" t="s">
        <v>2</v>
      </c>
      <c r="BL38"/>
      <c r="BM38" s="16"/>
      <c r="BN38" s="17" t="s">
        <v>18</v>
      </c>
      <c r="BO38" s="17" t="s">
        <v>21</v>
      </c>
      <c r="BP38" s="17" t="s">
        <v>22</v>
      </c>
      <c r="BQ38" s="17" t="s">
        <v>23</v>
      </c>
      <c r="BR38" s="30" t="s">
        <v>27</v>
      </c>
      <c r="BS38" s="1"/>
      <c r="BT38" s="28"/>
      <c r="BU38" s="29" t="s">
        <v>18</v>
      </c>
      <c r="BV38" s="29" t="s">
        <v>21</v>
      </c>
      <c r="BW38" s="29" t="s">
        <v>22</v>
      </c>
      <c r="BX38" s="29" t="s">
        <v>23</v>
      </c>
      <c r="BY38" s="30" t="s">
        <v>24</v>
      </c>
    </row>
    <row r="39" spans="1:77" s="96" customFormat="1" ht="18" customHeight="1" x14ac:dyDescent="0.25">
      <c r="A39" s="259"/>
      <c r="B39" s="263">
        <v>1</v>
      </c>
      <c r="C39" s="264">
        <f>IF(AM39=0,0,IF(E17&gt;=180,0,IF(E17=0,1,E17+1)))</f>
        <v>2</v>
      </c>
      <c r="D39" s="265">
        <f>IF(B39-1=$AO$101,AM39*$AO$102,IF(B39&gt;$AO$101,0,AM39))</f>
        <v>42744.566666666658</v>
      </c>
      <c r="E39" s="266">
        <f>IF(B39-1=$AO$101,(SUM(VLOOKUP(AL39,$AI$39:$AJ$158,2,0)/$B$10*$K$30))*$AO$102,IF(B39&gt;$AO$101,0,(SUM(VLOOKUP(AL39,$AI$39:$AJ$158,2,0)/$B$10*$K$30))))</f>
        <v>32666.666666666664</v>
      </c>
      <c r="F39" s="266">
        <f>IF(B39-1=$AO$101,(SUM(VLOOKUP(AL39,$AI$39:$AJ$159,2,0)*($G$15*(100%-$BB$31))))*$AO$102,IF(B39&gt;$AO$101,0,(SUM(VLOOKUP(AL39,$AI$39:$AJ$159,2,0)*($G$15*(100%-$BB$31))))))</f>
        <v>5880</v>
      </c>
      <c r="G39" s="266">
        <f>F39*0.16</f>
        <v>940.80000000000007</v>
      </c>
      <c r="H39" s="266">
        <f>IF(B39-1=$AO$101,(SUM(VLOOKUP(AL39,$AI$39:$AJ$158,2,0)*$I$15))*$AO$102,IF(B39&gt;$AO$101,0,(SUM(VLOOKUP(AL39,$AI$39:$AJ$158,2,0)*$I$15))))</f>
        <v>2100</v>
      </c>
      <c r="I39" s="266">
        <f>IF(B39-1=$AO$101,(SUM(VLOOKUP(AL39,$AI$39:$AJ$158,2,0)*$J$15))*$AO$102,IF(B39&gt;$AO$101,0,(SUM(VLOOKUP(AL39,$AI$39:$AJ$158,2,0)*$J$15))))</f>
        <v>1157.1000000000001</v>
      </c>
      <c r="J39" s="435">
        <f>'Resumen Flex'!K36</f>
        <v>0</v>
      </c>
      <c r="K39" s="317">
        <f>IF(J39=0,0,($AJ39/$B$10)*$AX39)</f>
        <v>0</v>
      </c>
      <c r="L39" s="317">
        <f>IF(J39=0,0,($AJ39*$G$15)*$AX39)</f>
        <v>0</v>
      </c>
      <c r="M39" s="317">
        <f>L39*0.16</f>
        <v>0</v>
      </c>
      <c r="N39" s="347">
        <f>AX39</f>
        <v>0</v>
      </c>
      <c r="O39" s="267">
        <f>B98+1</f>
        <v>61</v>
      </c>
      <c r="P39" s="264">
        <f>IF(Q39=0,0,IF(C98&gt;=180,0,IF(C98=0,0,C98+1)))</f>
        <v>62</v>
      </c>
      <c r="Q39" s="265">
        <f>IF(O39-1=$AO$101,AO39*$AO$102,IF(O39&gt;$AO$101,0,AO39))</f>
        <v>52005.301096830284</v>
      </c>
      <c r="R39" s="266">
        <f>IF(O39-1=$AO$101,(SUM(VLOOKUP(AN39,$AI$39:$AJ$158,2,0)/$B$10*$K$30))*$AO$102,IF(O39&gt;$AO$101,0,(SUM(VLOOKUP(AN39,$AI$39:$AJ$158,2,0)/$B$10*$K$30))))</f>
        <v>39743.994811733326</v>
      </c>
      <c r="S39" s="266">
        <f>IF(O39-1=$AO$101,(SUM(VLOOKUP(AN39,$AI$39:$AJ$159,2,0)*($G$15*(100%-$BB$31+$BB$29))))*$AO$102,IF(O39&gt;$AO$101,0,(SUM(VLOOKUP(AN39,$AI$39:$AJ$159,2,0)*($G$15*(100%-$BB$31+$BB$29))))))</f>
        <v>7153.9190661119992</v>
      </c>
      <c r="T39" s="266">
        <f t="shared" ref="T39" si="1">S39*0.16</f>
        <v>1144.6270505779198</v>
      </c>
      <c r="U39" s="266">
        <f>IF(O39-1=$AO$101,(SUM(VLOOKUP(AN39,$AI$39:$AJ$158,2,0)*$I$15))*$AO$102,IF(O39&gt;$AO$101,0,(SUM(VLOOKUP(AN39,$AI$39:$AJ$158,2,0)*$I$15))))</f>
        <v>2554.9710950399995</v>
      </c>
      <c r="V39" s="266">
        <f>IF(O39-1=$AO$101,(SUM(VLOOKUP(AN39,$AI$39:$AJ$158,2,0)*$J$15))*$AO$102,IF(O39&gt;$AO$101,0,(SUM(VLOOKUP(AN39,$AI$39:$AJ$158,2,0)*$J$15))))</f>
        <v>1407.7890733670399</v>
      </c>
      <c r="W39" s="435">
        <f>'Resumen Flex'!K41</f>
        <v>0</v>
      </c>
      <c r="X39" s="317">
        <f t="shared" ref="X39:X70" si="2">IF(W39=0,0,($AJ99/$B$10)*$AY39)</f>
        <v>0</v>
      </c>
      <c r="Y39" s="317">
        <f t="shared" ref="Y39:Y70" si="3">IF(W39=0,0,($AJ99*($G$15*(100%-$BE$29))*$AY39))</f>
        <v>0</v>
      </c>
      <c r="Z39" s="317">
        <f t="shared" ref="Z39:Z70" si="4">Y39*0.16</f>
        <v>0</v>
      </c>
      <c r="AA39" s="347">
        <f>AY39</f>
        <v>0</v>
      </c>
      <c r="AB39" s="309"/>
      <c r="AC39" s="132"/>
      <c r="AD39" s="132"/>
      <c r="AE39" s="136"/>
      <c r="AF39" s="132"/>
      <c r="AG39" s="37">
        <v>1</v>
      </c>
      <c r="AH39" s="14">
        <f>B7</f>
        <v>4200000</v>
      </c>
      <c r="AI39" s="54">
        <f>E17+1</f>
        <v>2</v>
      </c>
      <c r="AJ39" s="55">
        <f>VLOOKUP(AI39,$AG$39:$AH$99,2,0)</f>
        <v>4200000</v>
      </c>
      <c r="AK39" s="59">
        <v>1</v>
      </c>
      <c r="AL39" s="54">
        <f>BA39</f>
        <v>2</v>
      </c>
      <c r="AM39" s="45">
        <f>IFERROR(VLOOKUP(AL39,$BA$39:$BB$218,2,0),0)</f>
        <v>42744.566666666658</v>
      </c>
      <c r="AN39" s="44">
        <f>AL98+1</f>
        <v>62</v>
      </c>
      <c r="AO39" s="45">
        <f t="shared" ref="AO39:AO98" si="5">IFERROR(VLOOKUP(AN39,$BA$39:$BB$218,2,0),0)</f>
        <v>52005.301096830284</v>
      </c>
      <c r="AP39" s="3"/>
      <c r="AQ39" s="46">
        <f>E17+1</f>
        <v>2</v>
      </c>
      <c r="AR39" s="47">
        <f>IFERROR(VLOOKUP(AQ39,$BD$39:$BE$218,2,0),0)</f>
        <v>30154.133333333331</v>
      </c>
      <c r="AS39" s="46">
        <f>AQ98+1</f>
        <v>62</v>
      </c>
      <c r="AT39" s="47">
        <f t="shared" ref="AT39:AT98" si="6">IFERROR(VLOOKUP(AS39,$BD$39:$BE$218,2,0),0)</f>
        <v>36687.113839356578</v>
      </c>
      <c r="AU39" s="1"/>
      <c r="AV39" s="41">
        <f t="shared" ref="AV39:AV70" si="7">J39</f>
        <v>0</v>
      </c>
      <c r="AW39" s="41">
        <f t="shared" ref="AW39:AW70" si="8">W39</f>
        <v>0</v>
      </c>
      <c r="AX39" s="43">
        <f t="shared" ref="AX39:AX98" si="9">IFERROR(AV39/AR39,0)</f>
        <v>0</v>
      </c>
      <c r="AY39" s="43">
        <f t="shared" ref="AY39:AY98" si="10">IFERROR(AW39/AT39,0)</f>
        <v>0</v>
      </c>
      <c r="AZ39" s="11"/>
      <c r="BA39" s="34">
        <f>E17+1</f>
        <v>2</v>
      </c>
      <c r="BB39" s="35">
        <f t="shared" ref="BB39:BB50" si="11">SUM(VLOOKUP(BA39,$AI$39:$AJ$158,2,0)/$B$10*$K$30,VLOOKUP(BA39,$AI$39:$AJ$158,2,0)*($G$15*(100%-$BB$31))*1.16,VLOOKUP(BA39,$AI$39:$AJ$158,2,0)*$I$15,VLOOKUP(BA39,$AI$39:$AJ$158,2,0)*$J$15)</f>
        <v>42744.566666666658</v>
      </c>
      <c r="BC39" s="120"/>
      <c r="BD39" s="302">
        <f>E17+1</f>
        <v>2</v>
      </c>
      <c r="BE39" s="303">
        <f>AJ39/$B$10+AJ39*$G$15*1.16</f>
        <v>30154.133333333331</v>
      </c>
      <c r="BF39" s="208"/>
      <c r="BG39" s="37">
        <f>E17+1</f>
        <v>2</v>
      </c>
      <c r="BH39" s="8">
        <f t="shared" ref="BH39:BH70" si="12">VLOOKUP(BA39,$AI$39:$AJ$158,2,0)*($G$15*1.16)*5%*(IF(D39/BB39=1,1,D39/BB39))</f>
        <v>341.03999999999996</v>
      </c>
      <c r="BI39" s="8"/>
      <c r="BJ39" s="37">
        <f>E17+1</f>
        <v>2</v>
      </c>
      <c r="BK39" s="8">
        <f t="shared" ref="BK39:BK70" si="13">IF(BH39=0,0,(AJ39/$B$10+AJ39*$G$15*1.16)-BE39)*(IF(D39/BB39=1,1,D39/BB39))*AX39</f>
        <v>0</v>
      </c>
      <c r="BL39" s="42"/>
      <c r="BM39" s="4">
        <v>1</v>
      </c>
      <c r="BN39" s="14">
        <f t="shared" ref="BN39:BN98" si="14">AH39/$B$10</f>
        <v>23333.333333333332</v>
      </c>
      <c r="BO39" s="14">
        <f t="shared" ref="BO39:BO70" si="15">AH39*$G$15*(100%-$BB$26-$BB$28)</f>
        <v>5880</v>
      </c>
      <c r="BP39" s="14">
        <f>BO39*0.16</f>
        <v>940.80000000000007</v>
      </c>
      <c r="BQ39" s="14">
        <f t="shared" ref="BQ39:BQ98" si="16">AH39*$I$15</f>
        <v>2100</v>
      </c>
      <c r="BR39" s="38">
        <f t="shared" ref="BR39:BR70" si="17">SUM(BN39:BQ39)</f>
        <v>32254.133333333331</v>
      </c>
      <c r="BS39" s="1"/>
      <c r="BT39" s="4">
        <v>1</v>
      </c>
      <c r="BU39" s="14">
        <f t="shared" ref="BU39:BW39" si="18">BN39</f>
        <v>23333.333333333332</v>
      </c>
      <c r="BV39" s="14">
        <f t="shared" si="18"/>
        <v>5880</v>
      </c>
      <c r="BW39" s="14">
        <f t="shared" si="18"/>
        <v>940.80000000000007</v>
      </c>
      <c r="BX39" s="14">
        <f>BQ39</f>
        <v>2100</v>
      </c>
      <c r="BY39" s="21">
        <f>BR39</f>
        <v>32254.133333333331</v>
      </c>
    </row>
    <row r="40" spans="1:77" s="96" customFormat="1" ht="18" customHeight="1" x14ac:dyDescent="0.25">
      <c r="A40" s="259"/>
      <c r="B40" s="267">
        <f>B39+1</f>
        <v>2</v>
      </c>
      <c r="C40" s="264">
        <f>IF(D40=0,0,IF(C39&gt;=180,0,IF(C39=0,0,C39+1)))</f>
        <v>3</v>
      </c>
      <c r="D40" s="265">
        <f t="shared" ref="D40:D98" si="19">IF(B40-1=$AO$101,AM40*$AO$102,IF(B40&gt;$AO$101,0,AM40))</f>
        <v>42744.566666666658</v>
      </c>
      <c r="E40" s="266">
        <f t="shared" ref="E40:E98" si="20">IF(B40-1=$AO$101,(SUM(VLOOKUP(AL40,$AI$39:$AJ$158,2,0)/$B$10*$K$30))*$AO$102,IF(B40&gt;$AO$101,0,(SUM(VLOOKUP(AL40,$AI$39:$AJ$158,2,0)/$B$10*$K$30))))</f>
        <v>32666.666666666664</v>
      </c>
      <c r="F40" s="266">
        <f t="shared" ref="F40:F50" si="21">IF(B40-1=$AO$101,(SUM(VLOOKUP(AL40,$AI$39:$AJ$159,2,0)*($G$15*(100%-$BB$31))))*$AO$102,IF(B40&gt;$AO$101,0,(SUM(VLOOKUP(AL40,$AI$39:$AJ$159,2,0)*($G$15*(100%-$BB$31))))))</f>
        <v>5880</v>
      </c>
      <c r="G40" s="266">
        <f t="shared" ref="G40:G97" si="22">F40*0.16</f>
        <v>940.80000000000007</v>
      </c>
      <c r="H40" s="266">
        <f t="shared" ref="H40:H98" si="23">IF(B40-1=$AO$101,(SUM(VLOOKUP(AL40,$AI$39:$AJ$158,2,0)*$I$15))*$AO$102,IF(B40&gt;$AO$101,0,(SUM(VLOOKUP(AL40,$AI$39:$AJ$158,2,0)*$I$15))))</f>
        <v>2100</v>
      </c>
      <c r="I40" s="266">
        <f t="shared" ref="I40:I98" si="24">IF(B40-1=$AO$101,(SUM(VLOOKUP(AL40,$AI$39:$AJ$158,2,0)*$J$15))*$AO$102,IF(B40&gt;$AO$101,0,(SUM(VLOOKUP(AL40,$AI$39:$AJ$158,2,0)*$J$15))))</f>
        <v>1157.1000000000001</v>
      </c>
      <c r="J40" s="435"/>
      <c r="K40" s="317">
        <f t="shared" ref="K40:K98" si="25">IF(J40=0,0,($AJ40/$B$10)*$AX40)</f>
        <v>0</v>
      </c>
      <c r="L40" s="317">
        <f t="shared" ref="L40:L50" si="26">IF(J40=0,0,($AJ40*$G$15)*$AX40)</f>
        <v>0</v>
      </c>
      <c r="M40" s="317">
        <f t="shared" ref="M40:M98" si="27">L40*0.16</f>
        <v>0</v>
      </c>
      <c r="N40" s="347">
        <f t="shared" ref="N40:N98" si="28">AX40</f>
        <v>0</v>
      </c>
      <c r="O40" s="267">
        <f>+O39+1</f>
        <v>62</v>
      </c>
      <c r="P40" s="264">
        <f t="shared" ref="P40:P71" si="29">IF(Q40=0,0,IF(P39&gt;=180,0,IF(P39=0,0,P39+1)))</f>
        <v>63</v>
      </c>
      <c r="Q40" s="265">
        <f t="shared" ref="Q40:Q98" si="30">IF(O40-1=$AO$101,AO40*$AO$102,IF(O40&gt;$AO$101,0,AO40))</f>
        <v>52005.301096830284</v>
      </c>
      <c r="R40" s="266">
        <f t="shared" ref="R40:R98" si="31">IF(O40-1=$AO$101,(SUM(VLOOKUP(AN40,$AI$39:$AJ$158,2,0)/$B$10*$K$30))*$AO$102,IF(O40&gt;$AO$101,0,(SUM(VLOOKUP(AN40,$AI$39:$AJ$158,2,0)/$B$10*$K$30))))</f>
        <v>39743.994811733326</v>
      </c>
      <c r="S40" s="266">
        <f t="shared" ref="S40:S98" si="32">IF(O40-1=$AO$101,(SUM(VLOOKUP(AN40,$AI$39:$AJ$159,2,0)*($G$15*(100%-$BB$31+$BB$29))))*$AO$102,IF(O40&gt;$AO$101,0,(SUM(VLOOKUP(AN40,$AI$39:$AJ$159,2,0)*($G$15*(100%-$BB$31+$BB$29))))))</f>
        <v>7153.9190661119992</v>
      </c>
      <c r="T40" s="266">
        <f t="shared" ref="T40:T98" si="33">S40*0.16</f>
        <v>1144.6270505779198</v>
      </c>
      <c r="U40" s="266">
        <f t="shared" ref="U40:U98" si="34">IF(O40-1=$AO$101,(SUM(VLOOKUP(AN40,$AI$39:$AJ$158,2,0)*$I$15))*$AO$102,IF(O40&gt;$AO$101,0,(SUM(VLOOKUP(AN40,$AI$39:$AJ$158,2,0)*$I$15))))</f>
        <v>2554.9710950399995</v>
      </c>
      <c r="V40" s="266">
        <f t="shared" ref="V40:V98" si="35">IF(O40-1=$AO$101,(SUM(VLOOKUP(AN40,$AI$39:$AJ$158,2,0)*$J$15))*$AO$102,IF(O40&gt;$AO$101,0,(SUM(VLOOKUP(AN40,$AI$39:$AJ$158,2,0)*$J$15))))</f>
        <v>1407.7890733670399</v>
      </c>
      <c r="W40" s="435"/>
      <c r="X40" s="317">
        <f t="shared" si="2"/>
        <v>0</v>
      </c>
      <c r="Y40" s="317">
        <f t="shared" si="3"/>
        <v>0</v>
      </c>
      <c r="Z40" s="317">
        <f t="shared" si="4"/>
        <v>0</v>
      </c>
      <c r="AA40" s="347">
        <f t="shared" ref="AA40:AA98" si="36">AY40</f>
        <v>0</v>
      </c>
      <c r="AB40" s="309"/>
      <c r="AC40" s="133"/>
      <c r="AD40" s="133"/>
      <c r="AE40" s="136"/>
      <c r="AF40" s="132"/>
      <c r="AG40" s="13">
        <f t="shared" ref="AG40:AG98" si="37">+AG39+1</f>
        <v>2</v>
      </c>
      <c r="AH40" s="14">
        <f t="shared" ref="AH40:AH50" si="38">AH39</f>
        <v>4200000</v>
      </c>
      <c r="AI40" s="54">
        <f>AI39+1</f>
        <v>3</v>
      </c>
      <c r="AJ40" s="55">
        <f>AJ39</f>
        <v>4200000</v>
      </c>
      <c r="AK40" s="59">
        <v>2</v>
      </c>
      <c r="AL40" s="44">
        <f>AL39+1</f>
        <v>3</v>
      </c>
      <c r="AM40" s="45">
        <f t="shared" ref="AM40:AM98" si="39">IFERROR(VLOOKUP(AL40,$BA$39:$BB$218,2,0),0)</f>
        <v>42744.566666666658</v>
      </c>
      <c r="AN40" s="44">
        <f>AN39+1</f>
        <v>63</v>
      </c>
      <c r="AO40" s="45">
        <f t="shared" si="5"/>
        <v>52005.301096830284</v>
      </c>
      <c r="AP40" s="3"/>
      <c r="AQ40" s="46">
        <f>AQ39+1</f>
        <v>3</v>
      </c>
      <c r="AR40" s="47">
        <f t="shared" ref="AR40:AR98" si="40">IFERROR(VLOOKUP(AQ40,$BD$39:$BE$218,2,0),0)</f>
        <v>30154.133333333331</v>
      </c>
      <c r="AS40" s="46">
        <f>AS39+1</f>
        <v>63</v>
      </c>
      <c r="AT40" s="47">
        <f t="shared" si="6"/>
        <v>36687.113839356578</v>
      </c>
      <c r="AU40" s="1"/>
      <c r="AV40" s="41">
        <f t="shared" si="7"/>
        <v>0</v>
      </c>
      <c r="AW40" s="41">
        <f t="shared" si="8"/>
        <v>0</v>
      </c>
      <c r="AX40" s="43">
        <f t="shared" si="9"/>
        <v>0</v>
      </c>
      <c r="AY40" s="43">
        <f t="shared" si="10"/>
        <v>0</v>
      </c>
      <c r="AZ40" s="11"/>
      <c r="BA40" s="36">
        <f>+BA39+1</f>
        <v>3</v>
      </c>
      <c r="BB40" s="35">
        <f t="shared" si="11"/>
        <v>42744.566666666658</v>
      </c>
      <c r="BC40" s="120"/>
      <c r="BD40" s="304">
        <f>+BD39+1</f>
        <v>3</v>
      </c>
      <c r="BE40" s="303">
        <f t="shared" ref="BE40:BE50" si="41">AJ40/$B$10+AJ40*$G$15*1.16</f>
        <v>30154.133333333331</v>
      </c>
      <c r="BF40" s="208"/>
      <c r="BG40" s="37">
        <f>BG39+1</f>
        <v>3</v>
      </c>
      <c r="BH40" s="8">
        <f t="shared" si="12"/>
        <v>341.03999999999996</v>
      </c>
      <c r="BI40" s="8"/>
      <c r="BJ40" s="37">
        <f>BJ39+1</f>
        <v>3</v>
      </c>
      <c r="BK40" s="8">
        <f t="shared" si="13"/>
        <v>0</v>
      </c>
      <c r="BL40" s="8"/>
      <c r="BM40" s="4">
        <v>2</v>
      </c>
      <c r="BN40" s="14">
        <f t="shared" si="14"/>
        <v>23333.333333333332</v>
      </c>
      <c r="BO40" s="14">
        <f t="shared" si="15"/>
        <v>5880</v>
      </c>
      <c r="BP40" s="14">
        <f t="shared" ref="BP40:BP98" si="42">BO40*0.16</f>
        <v>940.80000000000007</v>
      </c>
      <c r="BQ40" s="14">
        <f t="shared" si="16"/>
        <v>2100</v>
      </c>
      <c r="BR40" s="38">
        <f t="shared" si="17"/>
        <v>32254.133333333331</v>
      </c>
      <c r="BS40" s="1"/>
      <c r="BT40" s="4">
        <v>2</v>
      </c>
      <c r="BU40" s="14">
        <f>SUM(BN$39:BN40)</f>
        <v>46666.666666666664</v>
      </c>
      <c r="BV40" s="14">
        <f>SUM(BO$39:BO40)</f>
        <v>11760</v>
      </c>
      <c r="BW40" s="14">
        <f>SUM(BP$39:BP40)</f>
        <v>1881.6000000000001</v>
      </c>
      <c r="BX40" s="14">
        <f>SUM(BQ$39:BQ40)</f>
        <v>4200</v>
      </c>
      <c r="BY40" s="21">
        <f>SUM(BR$39:BR40)</f>
        <v>64508.266666666663</v>
      </c>
    </row>
    <row r="41" spans="1:77" s="96" customFormat="1" ht="18" customHeight="1" x14ac:dyDescent="0.25">
      <c r="A41" s="259"/>
      <c r="B41" s="267">
        <f>B40+1</f>
        <v>3</v>
      </c>
      <c r="C41" s="264">
        <f t="shared" ref="C41:C98" si="43">IF(D41=0,0,IF(C40&gt;=180,0,IF(C40=0,0,C40+1)))</f>
        <v>4</v>
      </c>
      <c r="D41" s="265">
        <f t="shared" si="19"/>
        <v>42744.566666666658</v>
      </c>
      <c r="E41" s="266">
        <f t="shared" si="20"/>
        <v>32666.666666666664</v>
      </c>
      <c r="F41" s="266">
        <f t="shared" si="21"/>
        <v>5880</v>
      </c>
      <c r="G41" s="266">
        <f t="shared" si="22"/>
        <v>940.80000000000007</v>
      </c>
      <c r="H41" s="266">
        <f t="shared" si="23"/>
        <v>2100</v>
      </c>
      <c r="I41" s="266">
        <f t="shared" si="24"/>
        <v>1157.1000000000001</v>
      </c>
      <c r="J41" s="435"/>
      <c r="K41" s="317">
        <f t="shared" si="25"/>
        <v>0</v>
      </c>
      <c r="L41" s="317">
        <f t="shared" si="26"/>
        <v>0</v>
      </c>
      <c r="M41" s="317">
        <f t="shared" si="27"/>
        <v>0</v>
      </c>
      <c r="N41" s="347">
        <f t="shared" si="28"/>
        <v>0</v>
      </c>
      <c r="O41" s="267">
        <f>+O40+1</f>
        <v>63</v>
      </c>
      <c r="P41" s="264">
        <f t="shared" si="29"/>
        <v>64</v>
      </c>
      <c r="Q41" s="265">
        <f t="shared" si="30"/>
        <v>52005.301096830284</v>
      </c>
      <c r="R41" s="266">
        <f t="shared" si="31"/>
        <v>39743.994811733326</v>
      </c>
      <c r="S41" s="266">
        <f t="shared" si="32"/>
        <v>7153.9190661119992</v>
      </c>
      <c r="T41" s="266">
        <f t="shared" si="33"/>
        <v>1144.6270505779198</v>
      </c>
      <c r="U41" s="266">
        <f t="shared" si="34"/>
        <v>2554.9710950399995</v>
      </c>
      <c r="V41" s="266">
        <f t="shared" si="35"/>
        <v>1407.7890733670399</v>
      </c>
      <c r="W41" s="435"/>
      <c r="X41" s="317">
        <f t="shared" si="2"/>
        <v>0</v>
      </c>
      <c r="Y41" s="317">
        <f t="shared" si="3"/>
        <v>0</v>
      </c>
      <c r="Z41" s="317">
        <f t="shared" si="4"/>
        <v>0</v>
      </c>
      <c r="AA41" s="347">
        <f t="shared" si="36"/>
        <v>0</v>
      </c>
      <c r="AB41" s="309"/>
      <c r="AC41" s="132"/>
      <c r="AD41" s="132"/>
      <c r="AE41" s="136"/>
      <c r="AF41" s="132"/>
      <c r="AG41" s="13">
        <f t="shared" si="37"/>
        <v>3</v>
      </c>
      <c r="AH41" s="14">
        <f t="shared" si="38"/>
        <v>4200000</v>
      </c>
      <c r="AI41" s="44">
        <f t="shared" ref="AI41:AI104" si="44">AI40+1</f>
        <v>4</v>
      </c>
      <c r="AJ41" s="55">
        <f t="shared" ref="AJ41:AJ50" si="45">AJ40</f>
        <v>4200000</v>
      </c>
      <c r="AK41" s="59">
        <v>3</v>
      </c>
      <c r="AL41" s="44">
        <f t="shared" ref="AL41:AL98" si="46">AL40+1</f>
        <v>4</v>
      </c>
      <c r="AM41" s="45">
        <f t="shared" si="39"/>
        <v>42744.566666666658</v>
      </c>
      <c r="AN41" s="44">
        <f>AN40+1</f>
        <v>64</v>
      </c>
      <c r="AO41" s="45">
        <f t="shared" si="5"/>
        <v>52005.301096830284</v>
      </c>
      <c r="AP41" s="3"/>
      <c r="AQ41" s="46">
        <f t="shared" ref="AQ41:AQ98" si="47">AQ40+1</f>
        <v>4</v>
      </c>
      <c r="AR41" s="47">
        <f t="shared" si="40"/>
        <v>30154.133333333331</v>
      </c>
      <c r="AS41" s="46">
        <f>AS40+1</f>
        <v>64</v>
      </c>
      <c r="AT41" s="47">
        <f t="shared" si="6"/>
        <v>36687.113839356578</v>
      </c>
      <c r="AU41" s="1"/>
      <c r="AV41" s="41">
        <f t="shared" si="7"/>
        <v>0</v>
      </c>
      <c r="AW41" s="41">
        <f t="shared" si="8"/>
        <v>0</v>
      </c>
      <c r="AX41" s="43">
        <f t="shared" si="9"/>
        <v>0</v>
      </c>
      <c r="AY41" s="43">
        <f t="shared" si="10"/>
        <v>0</v>
      </c>
      <c r="AZ41" s="11"/>
      <c r="BA41" s="36">
        <f t="shared" ref="BA41:BA71" si="48">+BA40+1</f>
        <v>4</v>
      </c>
      <c r="BB41" s="35">
        <f t="shared" si="11"/>
        <v>42744.566666666658</v>
      </c>
      <c r="BC41" s="120"/>
      <c r="BD41" s="304">
        <f t="shared" ref="BD41:BD71" si="49">+BD40+1</f>
        <v>4</v>
      </c>
      <c r="BE41" s="303">
        <f t="shared" si="41"/>
        <v>30154.133333333331</v>
      </c>
      <c r="BF41" s="208"/>
      <c r="BG41" s="37">
        <f t="shared" ref="BG41:BG104" si="50">BG40+1</f>
        <v>4</v>
      </c>
      <c r="BH41" s="8">
        <f t="shared" si="12"/>
        <v>341.03999999999996</v>
      </c>
      <c r="BI41" s="8"/>
      <c r="BJ41" s="37">
        <f t="shared" ref="BJ41:BJ104" si="51">BJ40+1</f>
        <v>4</v>
      </c>
      <c r="BK41" s="8">
        <f t="shared" si="13"/>
        <v>0</v>
      </c>
      <c r="BL41" s="8"/>
      <c r="BM41" s="4">
        <v>3</v>
      </c>
      <c r="BN41" s="14">
        <f t="shared" si="14"/>
        <v>23333.333333333332</v>
      </c>
      <c r="BO41" s="14">
        <f t="shared" si="15"/>
        <v>5880</v>
      </c>
      <c r="BP41" s="14">
        <f t="shared" si="42"/>
        <v>940.80000000000007</v>
      </c>
      <c r="BQ41" s="14">
        <f t="shared" si="16"/>
        <v>2100</v>
      </c>
      <c r="BR41" s="38">
        <f t="shared" si="17"/>
        <v>32254.133333333331</v>
      </c>
      <c r="BS41" s="1"/>
      <c r="BT41" s="4">
        <v>3</v>
      </c>
      <c r="BU41" s="14">
        <f>SUM(BN$39:BN41)</f>
        <v>70000</v>
      </c>
      <c r="BV41" s="14">
        <f>SUM(BO$39:BO41)</f>
        <v>17640</v>
      </c>
      <c r="BW41" s="14">
        <f>SUM(BP$39:BP41)</f>
        <v>2822.4</v>
      </c>
      <c r="BX41" s="14">
        <f>SUM(BQ$39:BQ41)</f>
        <v>6300</v>
      </c>
      <c r="BY41" s="21">
        <f>SUM(BR$39:BR41)</f>
        <v>96762.4</v>
      </c>
    </row>
    <row r="42" spans="1:77" s="96" customFormat="1" ht="18" customHeight="1" x14ac:dyDescent="0.25">
      <c r="A42" s="259"/>
      <c r="B42" s="267">
        <f t="shared" ref="B42:B98" si="52">B41+1</f>
        <v>4</v>
      </c>
      <c r="C42" s="264">
        <f t="shared" si="43"/>
        <v>5</v>
      </c>
      <c r="D42" s="265">
        <f t="shared" si="19"/>
        <v>42744.566666666658</v>
      </c>
      <c r="E42" s="266">
        <f t="shared" si="20"/>
        <v>32666.666666666664</v>
      </c>
      <c r="F42" s="266">
        <f t="shared" si="21"/>
        <v>5880</v>
      </c>
      <c r="G42" s="266">
        <f t="shared" si="22"/>
        <v>940.80000000000007</v>
      </c>
      <c r="H42" s="266">
        <f t="shared" si="23"/>
        <v>2100</v>
      </c>
      <c r="I42" s="266">
        <f t="shared" si="24"/>
        <v>1157.1000000000001</v>
      </c>
      <c r="J42" s="435"/>
      <c r="K42" s="317">
        <f t="shared" si="25"/>
        <v>0</v>
      </c>
      <c r="L42" s="317">
        <f t="shared" si="26"/>
        <v>0</v>
      </c>
      <c r="M42" s="317">
        <f t="shared" si="27"/>
        <v>0</v>
      </c>
      <c r="N42" s="347">
        <f t="shared" si="28"/>
        <v>0</v>
      </c>
      <c r="O42" s="267">
        <f t="shared" ref="O42:O98" si="53">+O41+1</f>
        <v>64</v>
      </c>
      <c r="P42" s="264">
        <f t="shared" si="29"/>
        <v>65</v>
      </c>
      <c r="Q42" s="265">
        <f t="shared" si="30"/>
        <v>52005.301096830284</v>
      </c>
      <c r="R42" s="266">
        <f t="shared" si="31"/>
        <v>39743.994811733326</v>
      </c>
      <c r="S42" s="266">
        <f t="shared" si="32"/>
        <v>7153.9190661119992</v>
      </c>
      <c r="T42" s="266">
        <f t="shared" si="33"/>
        <v>1144.6270505779198</v>
      </c>
      <c r="U42" s="266">
        <f t="shared" si="34"/>
        <v>2554.9710950399995</v>
      </c>
      <c r="V42" s="266">
        <f t="shared" si="35"/>
        <v>1407.7890733670399</v>
      </c>
      <c r="W42" s="435"/>
      <c r="X42" s="317">
        <f t="shared" si="2"/>
        <v>0</v>
      </c>
      <c r="Y42" s="317">
        <f t="shared" si="3"/>
        <v>0</v>
      </c>
      <c r="Z42" s="317">
        <f t="shared" si="4"/>
        <v>0</v>
      </c>
      <c r="AA42" s="347">
        <f t="shared" si="36"/>
        <v>0</v>
      </c>
      <c r="AB42" s="309"/>
      <c r="AC42" s="132"/>
      <c r="AD42" s="132"/>
      <c r="AE42" s="136"/>
      <c r="AF42" s="132"/>
      <c r="AG42" s="13">
        <f t="shared" si="37"/>
        <v>4</v>
      </c>
      <c r="AH42" s="14">
        <f t="shared" si="38"/>
        <v>4200000</v>
      </c>
      <c r="AI42" s="44">
        <f t="shared" si="44"/>
        <v>5</v>
      </c>
      <c r="AJ42" s="55">
        <f t="shared" si="45"/>
        <v>4200000</v>
      </c>
      <c r="AK42" s="59">
        <v>4</v>
      </c>
      <c r="AL42" s="44">
        <f t="shared" si="46"/>
        <v>5</v>
      </c>
      <c r="AM42" s="45">
        <f t="shared" si="39"/>
        <v>42744.566666666658</v>
      </c>
      <c r="AN42" s="44">
        <f>AN41+1</f>
        <v>65</v>
      </c>
      <c r="AO42" s="45">
        <f t="shared" si="5"/>
        <v>52005.301096830284</v>
      </c>
      <c r="AP42" s="3"/>
      <c r="AQ42" s="46">
        <f t="shared" si="47"/>
        <v>5</v>
      </c>
      <c r="AR42" s="47">
        <f t="shared" si="40"/>
        <v>30154.133333333331</v>
      </c>
      <c r="AS42" s="46">
        <f>AS41+1</f>
        <v>65</v>
      </c>
      <c r="AT42" s="47">
        <f t="shared" si="6"/>
        <v>36687.113839356578</v>
      </c>
      <c r="AU42" s="1"/>
      <c r="AV42" s="41">
        <f t="shared" si="7"/>
        <v>0</v>
      </c>
      <c r="AW42" s="41">
        <f t="shared" si="8"/>
        <v>0</v>
      </c>
      <c r="AX42" s="43">
        <f t="shared" si="9"/>
        <v>0</v>
      </c>
      <c r="AY42" s="43">
        <f t="shared" si="10"/>
        <v>0</v>
      </c>
      <c r="AZ42" s="11"/>
      <c r="BA42" s="36">
        <f t="shared" si="48"/>
        <v>5</v>
      </c>
      <c r="BB42" s="35">
        <f t="shared" si="11"/>
        <v>42744.566666666658</v>
      </c>
      <c r="BC42" s="120"/>
      <c r="BD42" s="304">
        <f t="shared" si="49"/>
        <v>5</v>
      </c>
      <c r="BE42" s="303">
        <f t="shared" si="41"/>
        <v>30154.133333333331</v>
      </c>
      <c r="BF42" s="208"/>
      <c r="BG42" s="37">
        <f t="shared" si="50"/>
        <v>5</v>
      </c>
      <c r="BH42" s="8">
        <f t="shared" si="12"/>
        <v>341.03999999999996</v>
      </c>
      <c r="BI42" s="8"/>
      <c r="BJ42" s="37">
        <f t="shared" si="51"/>
        <v>5</v>
      </c>
      <c r="BK42" s="8">
        <f t="shared" si="13"/>
        <v>0</v>
      </c>
      <c r="BL42" s="8"/>
      <c r="BM42" s="4">
        <v>4</v>
      </c>
      <c r="BN42" s="14">
        <f t="shared" si="14"/>
        <v>23333.333333333332</v>
      </c>
      <c r="BO42" s="14">
        <f t="shared" si="15"/>
        <v>5880</v>
      </c>
      <c r="BP42" s="14">
        <f t="shared" si="42"/>
        <v>940.80000000000007</v>
      </c>
      <c r="BQ42" s="14">
        <f t="shared" si="16"/>
        <v>2100</v>
      </c>
      <c r="BR42" s="38">
        <f t="shared" si="17"/>
        <v>32254.133333333331</v>
      </c>
      <c r="BS42" s="1"/>
      <c r="BT42" s="4">
        <v>4</v>
      </c>
      <c r="BU42" s="14">
        <f>SUM(BN$39:BN42)</f>
        <v>93333.333333333328</v>
      </c>
      <c r="BV42" s="14">
        <f>SUM(BO$39:BO42)</f>
        <v>23520</v>
      </c>
      <c r="BW42" s="14">
        <f>SUM(BP$39:BP42)</f>
        <v>3763.2000000000003</v>
      </c>
      <c r="BX42" s="14">
        <f>SUM(BQ$39:BQ42)</f>
        <v>8400</v>
      </c>
      <c r="BY42" s="21">
        <f>SUM(BR$39:BR42)</f>
        <v>129016.53333333333</v>
      </c>
    </row>
    <row r="43" spans="1:77" s="96" customFormat="1" ht="18" customHeight="1" x14ac:dyDescent="0.25">
      <c r="A43" s="259"/>
      <c r="B43" s="267">
        <f t="shared" si="52"/>
        <v>5</v>
      </c>
      <c r="C43" s="264">
        <f t="shared" si="43"/>
        <v>6</v>
      </c>
      <c r="D43" s="265">
        <f t="shared" si="19"/>
        <v>42744.566666666658</v>
      </c>
      <c r="E43" s="266">
        <f t="shared" si="20"/>
        <v>32666.666666666664</v>
      </c>
      <c r="F43" s="266">
        <f t="shared" si="21"/>
        <v>5880</v>
      </c>
      <c r="G43" s="266">
        <f t="shared" si="22"/>
        <v>940.80000000000007</v>
      </c>
      <c r="H43" s="266">
        <f t="shared" si="23"/>
        <v>2100</v>
      </c>
      <c r="I43" s="266">
        <f t="shared" si="24"/>
        <v>1157.1000000000001</v>
      </c>
      <c r="J43" s="435"/>
      <c r="K43" s="317">
        <f t="shared" si="25"/>
        <v>0</v>
      </c>
      <c r="L43" s="317">
        <f t="shared" si="26"/>
        <v>0</v>
      </c>
      <c r="M43" s="317">
        <f t="shared" si="27"/>
        <v>0</v>
      </c>
      <c r="N43" s="347">
        <f t="shared" si="28"/>
        <v>0</v>
      </c>
      <c r="O43" s="267">
        <f t="shared" si="53"/>
        <v>65</v>
      </c>
      <c r="P43" s="264">
        <f t="shared" si="29"/>
        <v>66</v>
      </c>
      <c r="Q43" s="265">
        <f t="shared" si="30"/>
        <v>52005.301096830284</v>
      </c>
      <c r="R43" s="266">
        <f t="shared" si="31"/>
        <v>39743.994811733326</v>
      </c>
      <c r="S43" s="266">
        <f t="shared" si="32"/>
        <v>7153.9190661119992</v>
      </c>
      <c r="T43" s="266">
        <f t="shared" si="33"/>
        <v>1144.6270505779198</v>
      </c>
      <c r="U43" s="266">
        <f t="shared" si="34"/>
        <v>2554.9710950399995</v>
      </c>
      <c r="V43" s="266">
        <f t="shared" si="35"/>
        <v>1407.7890733670399</v>
      </c>
      <c r="W43" s="435"/>
      <c r="X43" s="317">
        <f t="shared" si="2"/>
        <v>0</v>
      </c>
      <c r="Y43" s="317">
        <f t="shared" si="3"/>
        <v>0</v>
      </c>
      <c r="Z43" s="317">
        <f t="shared" si="4"/>
        <v>0</v>
      </c>
      <c r="AA43" s="347">
        <f t="shared" si="36"/>
        <v>0</v>
      </c>
      <c r="AB43" s="309"/>
      <c r="AC43" s="132"/>
      <c r="AD43" s="132"/>
      <c r="AE43" s="136"/>
      <c r="AF43" s="132"/>
      <c r="AG43" s="13">
        <f t="shared" si="37"/>
        <v>5</v>
      </c>
      <c r="AH43" s="14">
        <f t="shared" si="38"/>
        <v>4200000</v>
      </c>
      <c r="AI43" s="44">
        <f t="shared" si="44"/>
        <v>6</v>
      </c>
      <c r="AJ43" s="55">
        <f t="shared" si="45"/>
        <v>4200000</v>
      </c>
      <c r="AK43" s="59">
        <v>5</v>
      </c>
      <c r="AL43" s="44">
        <f t="shared" si="46"/>
        <v>6</v>
      </c>
      <c r="AM43" s="45">
        <f t="shared" si="39"/>
        <v>42744.566666666658</v>
      </c>
      <c r="AN43" s="44">
        <f>AN42+1</f>
        <v>66</v>
      </c>
      <c r="AO43" s="45">
        <f t="shared" si="5"/>
        <v>52005.301096830284</v>
      </c>
      <c r="AP43" s="11"/>
      <c r="AQ43" s="46">
        <f t="shared" si="47"/>
        <v>6</v>
      </c>
      <c r="AR43" s="47">
        <f t="shared" si="40"/>
        <v>30154.133333333331</v>
      </c>
      <c r="AS43" s="46">
        <f>AS42+1</f>
        <v>66</v>
      </c>
      <c r="AT43" s="47">
        <f>IFERROR(VLOOKUP(AS43,$BD$39:$BE$218,2,0),0)</f>
        <v>36687.113839356578</v>
      </c>
      <c r="AU43" s="1"/>
      <c r="AV43" s="41">
        <f t="shared" si="7"/>
        <v>0</v>
      </c>
      <c r="AW43" s="41">
        <f t="shared" si="8"/>
        <v>0</v>
      </c>
      <c r="AX43" s="43">
        <f t="shared" si="9"/>
        <v>0</v>
      </c>
      <c r="AY43" s="43">
        <f t="shared" si="10"/>
        <v>0</v>
      </c>
      <c r="AZ43" s="11"/>
      <c r="BA43" s="36">
        <f t="shared" si="48"/>
        <v>6</v>
      </c>
      <c r="BB43" s="35">
        <f t="shared" si="11"/>
        <v>42744.566666666658</v>
      </c>
      <c r="BC43" s="120"/>
      <c r="BD43" s="304">
        <f t="shared" si="49"/>
        <v>6</v>
      </c>
      <c r="BE43" s="303">
        <f t="shared" si="41"/>
        <v>30154.133333333331</v>
      </c>
      <c r="BF43" s="208"/>
      <c r="BG43" s="37">
        <f t="shared" si="50"/>
        <v>6</v>
      </c>
      <c r="BH43" s="8">
        <f t="shared" si="12"/>
        <v>341.03999999999996</v>
      </c>
      <c r="BI43" s="8"/>
      <c r="BJ43" s="37">
        <f t="shared" si="51"/>
        <v>6</v>
      </c>
      <c r="BK43" s="8">
        <f t="shared" si="13"/>
        <v>0</v>
      </c>
      <c r="BL43" s="8"/>
      <c r="BM43" s="4">
        <v>5</v>
      </c>
      <c r="BN43" s="14">
        <f t="shared" si="14"/>
        <v>23333.333333333332</v>
      </c>
      <c r="BO43" s="14">
        <f t="shared" si="15"/>
        <v>5880</v>
      </c>
      <c r="BP43" s="14">
        <f t="shared" si="42"/>
        <v>940.80000000000007</v>
      </c>
      <c r="BQ43" s="14">
        <f t="shared" si="16"/>
        <v>2100</v>
      </c>
      <c r="BR43" s="38">
        <f t="shared" si="17"/>
        <v>32254.133333333331</v>
      </c>
      <c r="BS43" s="1"/>
      <c r="BT43" s="4">
        <v>5</v>
      </c>
      <c r="BU43" s="14">
        <f>SUM(BN$39:BN43)</f>
        <v>116666.66666666666</v>
      </c>
      <c r="BV43" s="14">
        <f>SUM(BO$39:BO43)</f>
        <v>29400</v>
      </c>
      <c r="BW43" s="14">
        <f>SUM(BP$39:BP43)</f>
        <v>4704</v>
      </c>
      <c r="BX43" s="14">
        <f>SUM(BQ$39:BQ43)</f>
        <v>10500</v>
      </c>
      <c r="BY43" s="21">
        <f>SUM(BR$39:BR43)</f>
        <v>161270.66666666666</v>
      </c>
    </row>
    <row r="44" spans="1:77" s="96" customFormat="1" ht="18" customHeight="1" x14ac:dyDescent="0.25">
      <c r="A44" s="259"/>
      <c r="B44" s="267">
        <f t="shared" si="52"/>
        <v>6</v>
      </c>
      <c r="C44" s="264">
        <f t="shared" si="43"/>
        <v>7</v>
      </c>
      <c r="D44" s="265">
        <f t="shared" si="19"/>
        <v>42744.566666666658</v>
      </c>
      <c r="E44" s="266">
        <f t="shared" si="20"/>
        <v>32666.666666666664</v>
      </c>
      <c r="F44" s="266">
        <f t="shared" si="21"/>
        <v>5880</v>
      </c>
      <c r="G44" s="266">
        <f t="shared" si="22"/>
        <v>940.80000000000007</v>
      </c>
      <c r="H44" s="266">
        <f t="shared" si="23"/>
        <v>2100</v>
      </c>
      <c r="I44" s="266">
        <f t="shared" si="24"/>
        <v>1157.1000000000001</v>
      </c>
      <c r="J44" s="435"/>
      <c r="K44" s="317">
        <f t="shared" si="25"/>
        <v>0</v>
      </c>
      <c r="L44" s="317">
        <f t="shared" si="26"/>
        <v>0</v>
      </c>
      <c r="M44" s="317">
        <f t="shared" si="27"/>
        <v>0</v>
      </c>
      <c r="N44" s="347">
        <f t="shared" si="28"/>
        <v>0</v>
      </c>
      <c r="O44" s="267">
        <f t="shared" si="53"/>
        <v>66</v>
      </c>
      <c r="P44" s="264">
        <f t="shared" si="29"/>
        <v>67</v>
      </c>
      <c r="Q44" s="265">
        <f t="shared" si="30"/>
        <v>52005.301096830284</v>
      </c>
      <c r="R44" s="266">
        <f t="shared" si="31"/>
        <v>39743.994811733326</v>
      </c>
      <c r="S44" s="266">
        <f t="shared" si="32"/>
        <v>7153.9190661119992</v>
      </c>
      <c r="T44" s="266">
        <f t="shared" si="33"/>
        <v>1144.6270505779198</v>
      </c>
      <c r="U44" s="266">
        <f t="shared" si="34"/>
        <v>2554.9710950399995</v>
      </c>
      <c r="V44" s="266">
        <f t="shared" si="35"/>
        <v>1407.7890733670399</v>
      </c>
      <c r="W44" s="435"/>
      <c r="X44" s="317">
        <f t="shared" si="2"/>
        <v>0</v>
      </c>
      <c r="Y44" s="317">
        <f t="shared" si="3"/>
        <v>0</v>
      </c>
      <c r="Z44" s="317">
        <f t="shared" si="4"/>
        <v>0</v>
      </c>
      <c r="AA44" s="347">
        <f t="shared" si="36"/>
        <v>0</v>
      </c>
      <c r="AB44" s="309"/>
      <c r="AC44" s="132"/>
      <c r="AD44" s="132"/>
      <c r="AE44" s="136"/>
      <c r="AF44" s="132"/>
      <c r="AG44" s="13">
        <f t="shared" si="37"/>
        <v>6</v>
      </c>
      <c r="AH44" s="14">
        <f t="shared" si="38"/>
        <v>4200000</v>
      </c>
      <c r="AI44" s="44">
        <f t="shared" si="44"/>
        <v>7</v>
      </c>
      <c r="AJ44" s="55">
        <f t="shared" si="45"/>
        <v>4200000</v>
      </c>
      <c r="AK44" s="59">
        <v>6</v>
      </c>
      <c r="AL44" s="44">
        <f t="shared" si="46"/>
        <v>7</v>
      </c>
      <c r="AM44" s="45">
        <f t="shared" si="39"/>
        <v>42744.566666666658</v>
      </c>
      <c r="AN44" s="44">
        <f>AN43+1</f>
        <v>67</v>
      </c>
      <c r="AO44" s="45">
        <f t="shared" si="5"/>
        <v>52005.301096830284</v>
      </c>
      <c r="AP44" s="11"/>
      <c r="AQ44" s="46">
        <f t="shared" si="47"/>
        <v>7</v>
      </c>
      <c r="AR44" s="47">
        <f>IFERROR(VLOOKUP(AQ44,$BD$39:$BE$218,2,0),0)</f>
        <v>30154.133333333331</v>
      </c>
      <c r="AS44" s="46">
        <f>AS43+1</f>
        <v>67</v>
      </c>
      <c r="AT44" s="47">
        <f t="shared" si="6"/>
        <v>36687.113839356578</v>
      </c>
      <c r="AU44" s="1"/>
      <c r="AV44" s="41">
        <f t="shared" si="7"/>
        <v>0</v>
      </c>
      <c r="AW44" s="41">
        <f t="shared" si="8"/>
        <v>0</v>
      </c>
      <c r="AX44" s="43">
        <f t="shared" si="9"/>
        <v>0</v>
      </c>
      <c r="AY44" s="43">
        <f t="shared" si="10"/>
        <v>0</v>
      </c>
      <c r="AZ44" s="11"/>
      <c r="BA44" s="36">
        <f t="shared" si="48"/>
        <v>7</v>
      </c>
      <c r="BB44" s="35">
        <f t="shared" si="11"/>
        <v>42744.566666666658</v>
      </c>
      <c r="BC44" s="120"/>
      <c r="BD44" s="304">
        <f t="shared" si="49"/>
        <v>7</v>
      </c>
      <c r="BE44" s="303">
        <f t="shared" si="41"/>
        <v>30154.133333333331</v>
      </c>
      <c r="BF44" s="208"/>
      <c r="BG44" s="37">
        <f t="shared" si="50"/>
        <v>7</v>
      </c>
      <c r="BH44" s="8">
        <f t="shared" si="12"/>
        <v>341.03999999999996</v>
      </c>
      <c r="BI44" s="8"/>
      <c r="BJ44" s="37">
        <f t="shared" si="51"/>
        <v>7</v>
      </c>
      <c r="BK44" s="8">
        <f t="shared" si="13"/>
        <v>0</v>
      </c>
      <c r="BL44" s="8"/>
      <c r="BM44" s="4">
        <v>6</v>
      </c>
      <c r="BN44" s="14">
        <f t="shared" si="14"/>
        <v>23333.333333333332</v>
      </c>
      <c r="BO44" s="14">
        <f t="shared" si="15"/>
        <v>5880</v>
      </c>
      <c r="BP44" s="14">
        <f t="shared" si="42"/>
        <v>940.80000000000007</v>
      </c>
      <c r="BQ44" s="14">
        <f t="shared" si="16"/>
        <v>2100</v>
      </c>
      <c r="BR44" s="38">
        <f t="shared" si="17"/>
        <v>32254.133333333331</v>
      </c>
      <c r="BS44" s="1"/>
      <c r="BT44" s="4">
        <v>6</v>
      </c>
      <c r="BU44" s="14">
        <f>SUM(BN$39:BN44)</f>
        <v>140000</v>
      </c>
      <c r="BV44" s="14">
        <f>SUM(BO$39:BO44)</f>
        <v>35280</v>
      </c>
      <c r="BW44" s="14">
        <f>SUM(BP$39:BP44)</f>
        <v>5644.8</v>
      </c>
      <c r="BX44" s="14">
        <f>SUM(BQ$39:BQ44)</f>
        <v>12600</v>
      </c>
      <c r="BY44" s="21">
        <f>SUM(BR$39:BR44)</f>
        <v>193524.8</v>
      </c>
    </row>
    <row r="45" spans="1:77" s="96" customFormat="1" ht="18" customHeight="1" x14ac:dyDescent="0.25">
      <c r="A45" s="259"/>
      <c r="B45" s="267">
        <f t="shared" si="52"/>
        <v>7</v>
      </c>
      <c r="C45" s="264">
        <f t="shared" si="43"/>
        <v>8</v>
      </c>
      <c r="D45" s="265">
        <f t="shared" si="19"/>
        <v>42744.566666666658</v>
      </c>
      <c r="E45" s="266">
        <f t="shared" si="20"/>
        <v>32666.666666666664</v>
      </c>
      <c r="F45" s="266">
        <f t="shared" si="21"/>
        <v>5880</v>
      </c>
      <c r="G45" s="266">
        <f t="shared" si="22"/>
        <v>940.80000000000007</v>
      </c>
      <c r="H45" s="266">
        <f t="shared" si="23"/>
        <v>2100</v>
      </c>
      <c r="I45" s="266">
        <f t="shared" si="24"/>
        <v>1157.1000000000001</v>
      </c>
      <c r="J45" s="435"/>
      <c r="K45" s="317">
        <f t="shared" si="25"/>
        <v>0</v>
      </c>
      <c r="L45" s="317">
        <f t="shared" si="26"/>
        <v>0</v>
      </c>
      <c r="M45" s="317">
        <f t="shared" si="27"/>
        <v>0</v>
      </c>
      <c r="N45" s="347">
        <f t="shared" si="28"/>
        <v>0</v>
      </c>
      <c r="O45" s="267">
        <f t="shared" si="53"/>
        <v>67</v>
      </c>
      <c r="P45" s="264">
        <f t="shared" si="29"/>
        <v>68</v>
      </c>
      <c r="Q45" s="265">
        <f t="shared" si="30"/>
        <v>52005.301096830284</v>
      </c>
      <c r="R45" s="266">
        <f t="shared" si="31"/>
        <v>39743.994811733326</v>
      </c>
      <c r="S45" s="266">
        <f t="shared" si="32"/>
        <v>7153.9190661119992</v>
      </c>
      <c r="T45" s="266">
        <f t="shared" si="33"/>
        <v>1144.6270505779198</v>
      </c>
      <c r="U45" s="266">
        <f t="shared" si="34"/>
        <v>2554.9710950399995</v>
      </c>
      <c r="V45" s="266">
        <f t="shared" si="35"/>
        <v>1407.7890733670399</v>
      </c>
      <c r="W45" s="435"/>
      <c r="X45" s="317">
        <f t="shared" si="2"/>
        <v>0</v>
      </c>
      <c r="Y45" s="317">
        <f t="shared" si="3"/>
        <v>0</v>
      </c>
      <c r="Z45" s="317">
        <f t="shared" si="4"/>
        <v>0</v>
      </c>
      <c r="AA45" s="347">
        <f t="shared" si="36"/>
        <v>0</v>
      </c>
      <c r="AB45" s="309"/>
      <c r="AC45" s="132"/>
      <c r="AD45" s="136"/>
      <c r="AE45" s="136"/>
      <c r="AF45" s="132"/>
      <c r="AG45" s="13">
        <f t="shared" si="37"/>
        <v>7</v>
      </c>
      <c r="AH45" s="14">
        <f t="shared" si="38"/>
        <v>4200000</v>
      </c>
      <c r="AI45" s="44">
        <f t="shared" si="44"/>
        <v>8</v>
      </c>
      <c r="AJ45" s="55">
        <f t="shared" si="45"/>
        <v>4200000</v>
      </c>
      <c r="AK45" s="59">
        <v>7</v>
      </c>
      <c r="AL45" s="44">
        <f t="shared" si="46"/>
        <v>8</v>
      </c>
      <c r="AM45" s="45">
        <f t="shared" si="39"/>
        <v>42744.566666666658</v>
      </c>
      <c r="AN45" s="44">
        <f t="shared" ref="AN45:AN98" si="54">AN44+1</f>
        <v>68</v>
      </c>
      <c r="AO45" s="45">
        <f t="shared" si="5"/>
        <v>52005.301096830284</v>
      </c>
      <c r="AP45" s="11"/>
      <c r="AQ45" s="46">
        <f t="shared" si="47"/>
        <v>8</v>
      </c>
      <c r="AR45" s="47">
        <f t="shared" si="40"/>
        <v>30154.133333333331</v>
      </c>
      <c r="AS45" s="46">
        <f t="shared" ref="AS45:AS98" si="55">AS44+1</f>
        <v>68</v>
      </c>
      <c r="AT45" s="47">
        <f t="shared" si="6"/>
        <v>36687.113839356578</v>
      </c>
      <c r="AU45" s="1"/>
      <c r="AV45" s="41">
        <f t="shared" si="7"/>
        <v>0</v>
      </c>
      <c r="AW45" s="41">
        <f t="shared" si="8"/>
        <v>0</v>
      </c>
      <c r="AX45" s="43">
        <f t="shared" si="9"/>
        <v>0</v>
      </c>
      <c r="AY45" s="43">
        <f t="shared" si="10"/>
        <v>0</v>
      </c>
      <c r="AZ45" s="11"/>
      <c r="BA45" s="36">
        <f t="shared" si="48"/>
        <v>8</v>
      </c>
      <c r="BB45" s="35">
        <f t="shared" si="11"/>
        <v>42744.566666666658</v>
      </c>
      <c r="BC45" s="120"/>
      <c r="BD45" s="304">
        <f t="shared" si="49"/>
        <v>8</v>
      </c>
      <c r="BE45" s="303">
        <f t="shared" si="41"/>
        <v>30154.133333333331</v>
      </c>
      <c r="BF45" s="208"/>
      <c r="BG45" s="37">
        <f t="shared" si="50"/>
        <v>8</v>
      </c>
      <c r="BH45" s="8">
        <f t="shared" si="12"/>
        <v>341.03999999999996</v>
      </c>
      <c r="BI45" s="8"/>
      <c r="BJ45" s="37">
        <f t="shared" si="51"/>
        <v>8</v>
      </c>
      <c r="BK45" s="8">
        <f t="shared" si="13"/>
        <v>0</v>
      </c>
      <c r="BL45" s="8"/>
      <c r="BM45" s="4">
        <v>7</v>
      </c>
      <c r="BN45" s="14">
        <f t="shared" si="14"/>
        <v>23333.333333333332</v>
      </c>
      <c r="BO45" s="14">
        <f t="shared" si="15"/>
        <v>5880</v>
      </c>
      <c r="BP45" s="14">
        <f t="shared" si="42"/>
        <v>940.80000000000007</v>
      </c>
      <c r="BQ45" s="14">
        <f t="shared" si="16"/>
        <v>2100</v>
      </c>
      <c r="BR45" s="38">
        <f t="shared" si="17"/>
        <v>32254.133333333331</v>
      </c>
      <c r="BS45" s="1"/>
      <c r="BT45" s="4">
        <v>7</v>
      </c>
      <c r="BU45" s="14">
        <f>SUM(BN$39:BN45)</f>
        <v>163333.33333333334</v>
      </c>
      <c r="BV45" s="14">
        <f>SUM(BO$39:BO45)</f>
        <v>41160</v>
      </c>
      <c r="BW45" s="14">
        <f>SUM(BP$39:BP45)</f>
        <v>6585.6</v>
      </c>
      <c r="BX45" s="14">
        <f>SUM(BQ$39:BQ45)</f>
        <v>14700</v>
      </c>
      <c r="BY45" s="21">
        <f>SUM(BR$39:BR45)</f>
        <v>225778.93333333332</v>
      </c>
    </row>
    <row r="46" spans="1:77" s="96" customFormat="1" ht="18" customHeight="1" x14ac:dyDescent="0.25">
      <c r="A46" s="259"/>
      <c r="B46" s="267">
        <f t="shared" si="52"/>
        <v>8</v>
      </c>
      <c r="C46" s="264">
        <f t="shared" si="43"/>
        <v>9</v>
      </c>
      <c r="D46" s="265">
        <f t="shared" si="19"/>
        <v>42744.566666666658</v>
      </c>
      <c r="E46" s="266">
        <f t="shared" si="20"/>
        <v>32666.666666666664</v>
      </c>
      <c r="F46" s="266">
        <f t="shared" si="21"/>
        <v>5880</v>
      </c>
      <c r="G46" s="266">
        <f t="shared" si="22"/>
        <v>940.80000000000007</v>
      </c>
      <c r="H46" s="266">
        <f t="shared" si="23"/>
        <v>2100</v>
      </c>
      <c r="I46" s="266">
        <f t="shared" si="24"/>
        <v>1157.1000000000001</v>
      </c>
      <c r="J46" s="435"/>
      <c r="K46" s="317">
        <f t="shared" si="25"/>
        <v>0</v>
      </c>
      <c r="L46" s="317">
        <f>IF(J46=0,0,($AJ46*$G$15)*$AX46)</f>
        <v>0</v>
      </c>
      <c r="M46" s="317">
        <f t="shared" si="27"/>
        <v>0</v>
      </c>
      <c r="N46" s="347">
        <f t="shared" si="28"/>
        <v>0</v>
      </c>
      <c r="O46" s="267">
        <f t="shared" si="53"/>
        <v>68</v>
      </c>
      <c r="P46" s="264">
        <f t="shared" si="29"/>
        <v>69</v>
      </c>
      <c r="Q46" s="265">
        <f t="shared" si="30"/>
        <v>52005.301096830284</v>
      </c>
      <c r="R46" s="266">
        <f t="shared" si="31"/>
        <v>39743.994811733326</v>
      </c>
      <c r="S46" s="266">
        <f t="shared" si="32"/>
        <v>7153.9190661119992</v>
      </c>
      <c r="T46" s="266">
        <f t="shared" si="33"/>
        <v>1144.6270505779198</v>
      </c>
      <c r="U46" s="266">
        <f t="shared" si="34"/>
        <v>2554.9710950399995</v>
      </c>
      <c r="V46" s="266">
        <f t="shared" si="35"/>
        <v>1407.7890733670399</v>
      </c>
      <c r="W46" s="435"/>
      <c r="X46" s="317">
        <f t="shared" si="2"/>
        <v>0</v>
      </c>
      <c r="Y46" s="317">
        <f t="shared" si="3"/>
        <v>0</v>
      </c>
      <c r="Z46" s="317">
        <f t="shared" si="4"/>
        <v>0</v>
      </c>
      <c r="AA46" s="347">
        <f t="shared" si="36"/>
        <v>0</v>
      </c>
      <c r="AB46" s="309"/>
      <c r="AC46" s="132"/>
      <c r="AD46" s="136"/>
      <c r="AE46" s="136"/>
      <c r="AF46" s="132"/>
      <c r="AG46" s="13">
        <f t="shared" si="37"/>
        <v>8</v>
      </c>
      <c r="AH46" s="14">
        <f t="shared" si="38"/>
        <v>4200000</v>
      </c>
      <c r="AI46" s="44">
        <f t="shared" si="44"/>
        <v>9</v>
      </c>
      <c r="AJ46" s="55">
        <f t="shared" si="45"/>
        <v>4200000</v>
      </c>
      <c r="AK46" s="59">
        <v>8</v>
      </c>
      <c r="AL46" s="44">
        <f t="shared" si="46"/>
        <v>9</v>
      </c>
      <c r="AM46" s="45">
        <f t="shared" si="39"/>
        <v>42744.566666666658</v>
      </c>
      <c r="AN46" s="44">
        <f t="shared" si="54"/>
        <v>69</v>
      </c>
      <c r="AO46" s="45">
        <f t="shared" si="5"/>
        <v>52005.301096830284</v>
      </c>
      <c r="AP46" s="6"/>
      <c r="AQ46" s="46">
        <f t="shared" si="47"/>
        <v>9</v>
      </c>
      <c r="AR46" s="47">
        <f t="shared" si="40"/>
        <v>30154.133333333331</v>
      </c>
      <c r="AS46" s="46">
        <f t="shared" si="55"/>
        <v>69</v>
      </c>
      <c r="AT46" s="47">
        <f t="shared" si="6"/>
        <v>36687.113839356578</v>
      </c>
      <c r="AU46" s="1"/>
      <c r="AV46" s="41">
        <f t="shared" si="7"/>
        <v>0</v>
      </c>
      <c r="AW46" s="41">
        <f t="shared" si="8"/>
        <v>0</v>
      </c>
      <c r="AX46" s="43">
        <f t="shared" si="9"/>
        <v>0</v>
      </c>
      <c r="AY46" s="43">
        <f t="shared" si="10"/>
        <v>0</v>
      </c>
      <c r="AZ46" s="11"/>
      <c r="BA46" s="36">
        <f t="shared" si="48"/>
        <v>9</v>
      </c>
      <c r="BB46" s="35">
        <f t="shared" si="11"/>
        <v>42744.566666666658</v>
      </c>
      <c r="BC46" s="120"/>
      <c r="BD46" s="304">
        <f t="shared" si="49"/>
        <v>9</v>
      </c>
      <c r="BE46" s="303">
        <f t="shared" si="41"/>
        <v>30154.133333333331</v>
      </c>
      <c r="BF46" s="208"/>
      <c r="BG46" s="37">
        <f t="shared" si="50"/>
        <v>9</v>
      </c>
      <c r="BH46" s="8">
        <f t="shared" si="12"/>
        <v>341.03999999999996</v>
      </c>
      <c r="BI46" s="8"/>
      <c r="BJ46" s="37">
        <f t="shared" si="51"/>
        <v>9</v>
      </c>
      <c r="BK46" s="8">
        <f t="shared" si="13"/>
        <v>0</v>
      </c>
      <c r="BL46" s="8"/>
      <c r="BM46" s="4">
        <v>8</v>
      </c>
      <c r="BN46" s="14">
        <f t="shared" si="14"/>
        <v>23333.333333333332</v>
      </c>
      <c r="BO46" s="14">
        <f t="shared" si="15"/>
        <v>5880</v>
      </c>
      <c r="BP46" s="14">
        <f t="shared" si="42"/>
        <v>940.80000000000007</v>
      </c>
      <c r="BQ46" s="14">
        <f t="shared" si="16"/>
        <v>2100</v>
      </c>
      <c r="BR46" s="38">
        <f t="shared" si="17"/>
        <v>32254.133333333331</v>
      </c>
      <c r="BS46" s="1"/>
      <c r="BT46" s="4">
        <v>8</v>
      </c>
      <c r="BU46" s="14">
        <f>SUM(BN$39:BN46)</f>
        <v>186666.66666666669</v>
      </c>
      <c r="BV46" s="14">
        <f>SUM(BO$39:BO46)</f>
        <v>47040</v>
      </c>
      <c r="BW46" s="14">
        <f>SUM(BP$39:BP46)</f>
        <v>7526.4000000000005</v>
      </c>
      <c r="BX46" s="14">
        <f>SUM(BQ$39:BQ46)</f>
        <v>16800</v>
      </c>
      <c r="BY46" s="21">
        <f>SUM(BR$39:BR46)</f>
        <v>258033.06666666665</v>
      </c>
    </row>
    <row r="47" spans="1:77" s="96" customFormat="1" ht="18" customHeight="1" x14ac:dyDescent="0.25">
      <c r="A47" s="259"/>
      <c r="B47" s="267">
        <f t="shared" si="52"/>
        <v>9</v>
      </c>
      <c r="C47" s="264">
        <f t="shared" si="43"/>
        <v>10</v>
      </c>
      <c r="D47" s="265">
        <f t="shared" si="19"/>
        <v>42744.566666666658</v>
      </c>
      <c r="E47" s="266">
        <f t="shared" si="20"/>
        <v>32666.666666666664</v>
      </c>
      <c r="F47" s="266">
        <f t="shared" si="21"/>
        <v>5880</v>
      </c>
      <c r="G47" s="266">
        <f t="shared" si="22"/>
        <v>940.80000000000007</v>
      </c>
      <c r="H47" s="266">
        <f t="shared" si="23"/>
        <v>2100</v>
      </c>
      <c r="I47" s="266">
        <f t="shared" si="24"/>
        <v>1157.1000000000001</v>
      </c>
      <c r="J47" s="435"/>
      <c r="K47" s="317">
        <f t="shared" si="25"/>
        <v>0</v>
      </c>
      <c r="L47" s="317">
        <f t="shared" si="26"/>
        <v>0</v>
      </c>
      <c r="M47" s="317">
        <f t="shared" si="27"/>
        <v>0</v>
      </c>
      <c r="N47" s="347">
        <f t="shared" si="28"/>
        <v>0</v>
      </c>
      <c r="O47" s="267">
        <f t="shared" si="53"/>
        <v>69</v>
      </c>
      <c r="P47" s="264">
        <f t="shared" si="29"/>
        <v>70</v>
      </c>
      <c r="Q47" s="265">
        <f t="shared" si="30"/>
        <v>52005.301096830284</v>
      </c>
      <c r="R47" s="266">
        <f t="shared" si="31"/>
        <v>39743.994811733326</v>
      </c>
      <c r="S47" s="266">
        <f t="shared" si="32"/>
        <v>7153.9190661119992</v>
      </c>
      <c r="T47" s="266">
        <f t="shared" si="33"/>
        <v>1144.6270505779198</v>
      </c>
      <c r="U47" s="266">
        <f t="shared" si="34"/>
        <v>2554.9710950399995</v>
      </c>
      <c r="V47" s="266">
        <f t="shared" si="35"/>
        <v>1407.7890733670399</v>
      </c>
      <c r="W47" s="435"/>
      <c r="X47" s="317">
        <f t="shared" si="2"/>
        <v>0</v>
      </c>
      <c r="Y47" s="317">
        <f t="shared" si="3"/>
        <v>0</v>
      </c>
      <c r="Z47" s="317">
        <f t="shared" si="4"/>
        <v>0</v>
      </c>
      <c r="AA47" s="347">
        <f t="shared" si="36"/>
        <v>0</v>
      </c>
      <c r="AB47" s="309"/>
      <c r="AC47" s="132"/>
      <c r="AD47" s="136"/>
      <c r="AE47" s="136"/>
      <c r="AF47" s="132"/>
      <c r="AG47" s="13">
        <f t="shared" si="37"/>
        <v>9</v>
      </c>
      <c r="AH47" s="14">
        <f t="shared" si="38"/>
        <v>4200000</v>
      </c>
      <c r="AI47" s="44">
        <f t="shared" si="44"/>
        <v>10</v>
      </c>
      <c r="AJ47" s="55">
        <f t="shared" si="45"/>
        <v>4200000</v>
      </c>
      <c r="AK47" s="59">
        <v>9</v>
      </c>
      <c r="AL47" s="44">
        <f t="shared" si="46"/>
        <v>10</v>
      </c>
      <c r="AM47" s="45">
        <f t="shared" si="39"/>
        <v>42744.566666666658</v>
      </c>
      <c r="AN47" s="44">
        <f t="shared" si="54"/>
        <v>70</v>
      </c>
      <c r="AO47" s="45">
        <f t="shared" si="5"/>
        <v>52005.301096830284</v>
      </c>
      <c r="AP47" s="3"/>
      <c r="AQ47" s="46">
        <f t="shared" si="47"/>
        <v>10</v>
      </c>
      <c r="AR47" s="47">
        <f t="shared" si="40"/>
        <v>30154.133333333331</v>
      </c>
      <c r="AS47" s="46">
        <f t="shared" si="55"/>
        <v>70</v>
      </c>
      <c r="AT47" s="47">
        <f t="shared" si="6"/>
        <v>36687.113839356578</v>
      </c>
      <c r="AU47" s="1"/>
      <c r="AV47" s="41">
        <f t="shared" si="7"/>
        <v>0</v>
      </c>
      <c r="AW47" s="41">
        <f t="shared" si="8"/>
        <v>0</v>
      </c>
      <c r="AX47" s="43">
        <f t="shared" si="9"/>
        <v>0</v>
      </c>
      <c r="AY47" s="43">
        <f t="shared" si="10"/>
        <v>0</v>
      </c>
      <c r="AZ47" s="11"/>
      <c r="BA47" s="36">
        <f t="shared" si="48"/>
        <v>10</v>
      </c>
      <c r="BB47" s="35">
        <f t="shared" si="11"/>
        <v>42744.566666666658</v>
      </c>
      <c r="BC47" s="120"/>
      <c r="BD47" s="304">
        <f t="shared" si="49"/>
        <v>10</v>
      </c>
      <c r="BE47" s="303">
        <f t="shared" si="41"/>
        <v>30154.133333333331</v>
      </c>
      <c r="BF47" s="208"/>
      <c r="BG47" s="37">
        <f t="shared" si="50"/>
        <v>10</v>
      </c>
      <c r="BH47" s="8">
        <f t="shared" si="12"/>
        <v>341.03999999999996</v>
      </c>
      <c r="BI47" s="8"/>
      <c r="BJ47" s="37">
        <f t="shared" si="51"/>
        <v>10</v>
      </c>
      <c r="BK47" s="8">
        <f t="shared" si="13"/>
        <v>0</v>
      </c>
      <c r="BL47" s="8"/>
      <c r="BM47" s="4">
        <v>9</v>
      </c>
      <c r="BN47" s="14">
        <f t="shared" si="14"/>
        <v>23333.333333333332</v>
      </c>
      <c r="BO47" s="14">
        <f t="shared" si="15"/>
        <v>5880</v>
      </c>
      <c r="BP47" s="14">
        <f t="shared" si="42"/>
        <v>940.80000000000007</v>
      </c>
      <c r="BQ47" s="14">
        <f t="shared" si="16"/>
        <v>2100</v>
      </c>
      <c r="BR47" s="38">
        <f t="shared" si="17"/>
        <v>32254.133333333331</v>
      </c>
      <c r="BS47" s="1"/>
      <c r="BT47" s="4">
        <v>9</v>
      </c>
      <c r="BU47" s="14">
        <f>SUM(BN$39:BN47)</f>
        <v>210000.00000000003</v>
      </c>
      <c r="BV47" s="14">
        <f>SUM(BO$39:BO47)</f>
        <v>52920</v>
      </c>
      <c r="BW47" s="14">
        <f>SUM(BP$39:BP47)</f>
        <v>8467.2000000000007</v>
      </c>
      <c r="BX47" s="14">
        <f>SUM(BQ$39:BQ47)</f>
        <v>18900</v>
      </c>
      <c r="BY47" s="21">
        <f>SUM(BR$39:BR47)</f>
        <v>290287.19999999995</v>
      </c>
    </row>
    <row r="48" spans="1:77" s="96" customFormat="1" ht="18" customHeight="1" x14ac:dyDescent="0.25">
      <c r="A48" s="259"/>
      <c r="B48" s="267">
        <f t="shared" si="52"/>
        <v>10</v>
      </c>
      <c r="C48" s="264">
        <f t="shared" si="43"/>
        <v>11</v>
      </c>
      <c r="D48" s="265">
        <f t="shared" si="19"/>
        <v>42744.566666666658</v>
      </c>
      <c r="E48" s="266">
        <f t="shared" si="20"/>
        <v>32666.666666666664</v>
      </c>
      <c r="F48" s="266">
        <f t="shared" si="21"/>
        <v>5880</v>
      </c>
      <c r="G48" s="266">
        <f t="shared" si="22"/>
        <v>940.80000000000007</v>
      </c>
      <c r="H48" s="266">
        <f t="shared" si="23"/>
        <v>2100</v>
      </c>
      <c r="I48" s="266">
        <f t="shared" si="24"/>
        <v>1157.1000000000001</v>
      </c>
      <c r="J48" s="435"/>
      <c r="K48" s="317">
        <f t="shared" si="25"/>
        <v>0</v>
      </c>
      <c r="L48" s="317">
        <f t="shared" si="26"/>
        <v>0</v>
      </c>
      <c r="M48" s="317">
        <f t="shared" si="27"/>
        <v>0</v>
      </c>
      <c r="N48" s="347">
        <f t="shared" si="28"/>
        <v>0</v>
      </c>
      <c r="O48" s="267">
        <f t="shared" si="53"/>
        <v>70</v>
      </c>
      <c r="P48" s="264">
        <f t="shared" si="29"/>
        <v>71</v>
      </c>
      <c r="Q48" s="265">
        <f t="shared" si="30"/>
        <v>52005.301096830284</v>
      </c>
      <c r="R48" s="266">
        <f t="shared" si="31"/>
        <v>39743.994811733326</v>
      </c>
      <c r="S48" s="266">
        <f t="shared" si="32"/>
        <v>7153.9190661119992</v>
      </c>
      <c r="T48" s="266">
        <f t="shared" si="33"/>
        <v>1144.6270505779198</v>
      </c>
      <c r="U48" s="266">
        <f t="shared" si="34"/>
        <v>2554.9710950399995</v>
      </c>
      <c r="V48" s="266">
        <f t="shared" si="35"/>
        <v>1407.7890733670399</v>
      </c>
      <c r="W48" s="435"/>
      <c r="X48" s="317">
        <f t="shared" si="2"/>
        <v>0</v>
      </c>
      <c r="Y48" s="317">
        <f t="shared" si="3"/>
        <v>0</v>
      </c>
      <c r="Z48" s="317">
        <f t="shared" si="4"/>
        <v>0</v>
      </c>
      <c r="AA48" s="347">
        <f t="shared" si="36"/>
        <v>0</v>
      </c>
      <c r="AB48" s="309"/>
      <c r="AC48" s="132"/>
      <c r="AD48" s="136"/>
      <c r="AE48" s="136"/>
      <c r="AF48" s="132"/>
      <c r="AG48" s="13">
        <f t="shared" si="37"/>
        <v>10</v>
      </c>
      <c r="AH48" s="14">
        <f t="shared" si="38"/>
        <v>4200000</v>
      </c>
      <c r="AI48" s="44">
        <f t="shared" si="44"/>
        <v>11</v>
      </c>
      <c r="AJ48" s="55">
        <f t="shared" si="45"/>
        <v>4200000</v>
      </c>
      <c r="AK48" s="59">
        <v>10</v>
      </c>
      <c r="AL48" s="44">
        <f t="shared" si="46"/>
        <v>11</v>
      </c>
      <c r="AM48" s="45">
        <f t="shared" si="39"/>
        <v>42744.566666666658</v>
      </c>
      <c r="AN48" s="44">
        <f t="shared" si="54"/>
        <v>71</v>
      </c>
      <c r="AO48" s="45">
        <f t="shared" si="5"/>
        <v>52005.301096830284</v>
      </c>
      <c r="AP48"/>
      <c r="AQ48" s="46">
        <f t="shared" si="47"/>
        <v>11</v>
      </c>
      <c r="AR48" s="47">
        <f t="shared" si="40"/>
        <v>30154.133333333331</v>
      </c>
      <c r="AS48" s="46">
        <f t="shared" si="55"/>
        <v>71</v>
      </c>
      <c r="AT48" s="47">
        <f t="shared" si="6"/>
        <v>36687.113839356578</v>
      </c>
      <c r="AU48" s="1"/>
      <c r="AV48" s="41">
        <f t="shared" si="7"/>
        <v>0</v>
      </c>
      <c r="AW48" s="41">
        <f t="shared" si="8"/>
        <v>0</v>
      </c>
      <c r="AX48" s="43">
        <f t="shared" si="9"/>
        <v>0</v>
      </c>
      <c r="AY48" s="43">
        <f t="shared" si="10"/>
        <v>0</v>
      </c>
      <c r="AZ48" s="11"/>
      <c r="BA48" s="36">
        <f t="shared" si="48"/>
        <v>11</v>
      </c>
      <c r="BB48" s="35">
        <f t="shared" si="11"/>
        <v>42744.566666666658</v>
      </c>
      <c r="BC48" s="120"/>
      <c r="BD48" s="304">
        <f t="shared" si="49"/>
        <v>11</v>
      </c>
      <c r="BE48" s="303">
        <f t="shared" si="41"/>
        <v>30154.133333333331</v>
      </c>
      <c r="BF48" s="208"/>
      <c r="BG48" s="37">
        <f t="shared" si="50"/>
        <v>11</v>
      </c>
      <c r="BH48" s="8">
        <f t="shared" si="12"/>
        <v>341.03999999999996</v>
      </c>
      <c r="BI48" s="8"/>
      <c r="BJ48" s="37">
        <f t="shared" si="51"/>
        <v>11</v>
      </c>
      <c r="BK48" s="8">
        <f t="shared" si="13"/>
        <v>0</v>
      </c>
      <c r="BL48" s="8"/>
      <c r="BM48" s="4">
        <v>10</v>
      </c>
      <c r="BN48" s="14">
        <f t="shared" si="14"/>
        <v>23333.333333333332</v>
      </c>
      <c r="BO48" s="14">
        <f t="shared" si="15"/>
        <v>5880</v>
      </c>
      <c r="BP48" s="14">
        <f t="shared" si="42"/>
        <v>940.80000000000007</v>
      </c>
      <c r="BQ48" s="14">
        <f t="shared" si="16"/>
        <v>2100</v>
      </c>
      <c r="BR48" s="38">
        <f t="shared" si="17"/>
        <v>32254.133333333331</v>
      </c>
      <c r="BS48" s="1"/>
      <c r="BT48" s="4">
        <v>10</v>
      </c>
      <c r="BU48" s="14">
        <f>SUM(BN$39:BN48)</f>
        <v>233333.33333333337</v>
      </c>
      <c r="BV48" s="14">
        <f>SUM(BO$39:BO48)</f>
        <v>58800</v>
      </c>
      <c r="BW48" s="14">
        <f>SUM(BP$39:BP48)</f>
        <v>9408</v>
      </c>
      <c r="BX48" s="14">
        <f>SUM(BQ$39:BQ48)</f>
        <v>21000</v>
      </c>
      <c r="BY48" s="21">
        <f>SUM(BR$39:BR48)</f>
        <v>322541.33333333326</v>
      </c>
    </row>
    <row r="49" spans="1:77" s="96" customFormat="1" ht="18" customHeight="1" x14ac:dyDescent="0.25">
      <c r="A49" s="259"/>
      <c r="B49" s="267">
        <f t="shared" si="52"/>
        <v>11</v>
      </c>
      <c r="C49" s="264">
        <f t="shared" si="43"/>
        <v>12</v>
      </c>
      <c r="D49" s="265">
        <f t="shared" si="19"/>
        <v>42744.566666666658</v>
      </c>
      <c r="E49" s="266">
        <f t="shared" si="20"/>
        <v>32666.666666666664</v>
      </c>
      <c r="F49" s="266">
        <f t="shared" si="21"/>
        <v>5880</v>
      </c>
      <c r="G49" s="266">
        <f t="shared" si="22"/>
        <v>940.80000000000007</v>
      </c>
      <c r="H49" s="266">
        <f t="shared" si="23"/>
        <v>2100</v>
      </c>
      <c r="I49" s="266">
        <f t="shared" si="24"/>
        <v>1157.1000000000001</v>
      </c>
      <c r="J49" s="435"/>
      <c r="K49" s="317">
        <f t="shared" si="25"/>
        <v>0</v>
      </c>
      <c r="L49" s="317">
        <f t="shared" si="26"/>
        <v>0</v>
      </c>
      <c r="M49" s="317">
        <f t="shared" si="27"/>
        <v>0</v>
      </c>
      <c r="N49" s="347">
        <f t="shared" si="28"/>
        <v>0</v>
      </c>
      <c r="O49" s="267">
        <f t="shared" si="53"/>
        <v>71</v>
      </c>
      <c r="P49" s="264">
        <f t="shared" si="29"/>
        <v>72</v>
      </c>
      <c r="Q49" s="265">
        <f t="shared" si="30"/>
        <v>52005.301096830284</v>
      </c>
      <c r="R49" s="266">
        <f t="shared" si="31"/>
        <v>39743.994811733326</v>
      </c>
      <c r="S49" s="266">
        <f t="shared" si="32"/>
        <v>7153.9190661119992</v>
      </c>
      <c r="T49" s="266">
        <f t="shared" si="33"/>
        <v>1144.6270505779198</v>
      </c>
      <c r="U49" s="266">
        <f t="shared" si="34"/>
        <v>2554.9710950399995</v>
      </c>
      <c r="V49" s="266">
        <f t="shared" si="35"/>
        <v>1407.7890733670399</v>
      </c>
      <c r="W49" s="435"/>
      <c r="X49" s="317">
        <f t="shared" si="2"/>
        <v>0</v>
      </c>
      <c r="Y49" s="317">
        <f t="shared" si="3"/>
        <v>0</v>
      </c>
      <c r="Z49" s="317">
        <f t="shared" si="4"/>
        <v>0</v>
      </c>
      <c r="AA49" s="347">
        <f t="shared" si="36"/>
        <v>0</v>
      </c>
      <c r="AB49" s="309"/>
      <c r="AC49" s="132"/>
      <c r="AD49" s="136"/>
      <c r="AE49" s="136"/>
      <c r="AF49" s="136"/>
      <c r="AG49" s="13">
        <f t="shared" si="37"/>
        <v>11</v>
      </c>
      <c r="AH49" s="14">
        <f t="shared" si="38"/>
        <v>4200000</v>
      </c>
      <c r="AI49" s="44">
        <f t="shared" si="44"/>
        <v>12</v>
      </c>
      <c r="AJ49" s="55">
        <f t="shared" si="45"/>
        <v>4200000</v>
      </c>
      <c r="AK49" s="59">
        <v>11</v>
      </c>
      <c r="AL49" s="44">
        <f t="shared" si="46"/>
        <v>12</v>
      </c>
      <c r="AM49" s="45">
        <f t="shared" si="39"/>
        <v>42744.566666666658</v>
      </c>
      <c r="AN49" s="44">
        <f t="shared" si="54"/>
        <v>72</v>
      </c>
      <c r="AO49" s="45">
        <f t="shared" si="5"/>
        <v>52005.301096830284</v>
      </c>
      <c r="AP49"/>
      <c r="AQ49" s="46">
        <f t="shared" si="47"/>
        <v>12</v>
      </c>
      <c r="AR49" s="47">
        <f t="shared" si="40"/>
        <v>30154.133333333331</v>
      </c>
      <c r="AS49" s="46">
        <f t="shared" si="55"/>
        <v>72</v>
      </c>
      <c r="AT49" s="47">
        <f t="shared" si="6"/>
        <v>36687.113839356578</v>
      </c>
      <c r="AU49" s="1"/>
      <c r="AV49" s="41">
        <f t="shared" si="7"/>
        <v>0</v>
      </c>
      <c r="AW49" s="41">
        <f t="shared" si="8"/>
        <v>0</v>
      </c>
      <c r="AX49" s="43">
        <f t="shared" si="9"/>
        <v>0</v>
      </c>
      <c r="AY49" s="43">
        <f t="shared" si="10"/>
        <v>0</v>
      </c>
      <c r="AZ49" s="11"/>
      <c r="BA49" s="36">
        <f t="shared" si="48"/>
        <v>12</v>
      </c>
      <c r="BB49" s="35">
        <f t="shared" si="11"/>
        <v>42744.566666666658</v>
      </c>
      <c r="BC49" s="120"/>
      <c r="BD49" s="304">
        <f t="shared" si="49"/>
        <v>12</v>
      </c>
      <c r="BE49" s="303">
        <f t="shared" si="41"/>
        <v>30154.133333333331</v>
      </c>
      <c r="BF49" s="208"/>
      <c r="BG49" s="37">
        <f t="shared" si="50"/>
        <v>12</v>
      </c>
      <c r="BH49" s="8">
        <f t="shared" si="12"/>
        <v>341.03999999999996</v>
      </c>
      <c r="BI49" s="8"/>
      <c r="BJ49" s="37">
        <f t="shared" si="51"/>
        <v>12</v>
      </c>
      <c r="BK49" s="8">
        <f t="shared" si="13"/>
        <v>0</v>
      </c>
      <c r="BL49" s="8"/>
      <c r="BM49" s="4">
        <v>11</v>
      </c>
      <c r="BN49" s="14">
        <f t="shared" si="14"/>
        <v>23333.333333333332</v>
      </c>
      <c r="BO49" s="14">
        <f t="shared" si="15"/>
        <v>5880</v>
      </c>
      <c r="BP49" s="14">
        <f t="shared" si="42"/>
        <v>940.80000000000007</v>
      </c>
      <c r="BQ49" s="14">
        <f t="shared" si="16"/>
        <v>2100</v>
      </c>
      <c r="BR49" s="38">
        <f t="shared" si="17"/>
        <v>32254.133333333331</v>
      </c>
      <c r="BS49" s="1"/>
      <c r="BT49" s="4">
        <v>11</v>
      </c>
      <c r="BU49" s="14">
        <f>SUM(BN$39:BN49)</f>
        <v>256666.66666666672</v>
      </c>
      <c r="BV49" s="14">
        <f>SUM(BO$39:BO49)</f>
        <v>64680</v>
      </c>
      <c r="BW49" s="14">
        <f>SUM(BP$39:BP49)</f>
        <v>10348.799999999999</v>
      </c>
      <c r="BX49" s="14">
        <f>SUM(BQ$39:BQ49)</f>
        <v>23100</v>
      </c>
      <c r="BY49" s="21">
        <f>SUM(BR$39:BR49)</f>
        <v>354795.46666666656</v>
      </c>
    </row>
    <row r="50" spans="1:77" s="96" customFormat="1" ht="18" customHeight="1" x14ac:dyDescent="0.25">
      <c r="A50" s="259"/>
      <c r="B50" s="267">
        <f t="shared" si="52"/>
        <v>12</v>
      </c>
      <c r="C50" s="264">
        <f t="shared" si="43"/>
        <v>13</v>
      </c>
      <c r="D50" s="265">
        <f t="shared" si="19"/>
        <v>42744.566666666658</v>
      </c>
      <c r="E50" s="266">
        <f t="shared" si="20"/>
        <v>32666.666666666664</v>
      </c>
      <c r="F50" s="266">
        <f t="shared" si="21"/>
        <v>5880</v>
      </c>
      <c r="G50" s="266">
        <f t="shared" si="22"/>
        <v>940.80000000000007</v>
      </c>
      <c r="H50" s="266">
        <f t="shared" si="23"/>
        <v>2100</v>
      </c>
      <c r="I50" s="266">
        <f t="shared" si="24"/>
        <v>1157.1000000000001</v>
      </c>
      <c r="J50" s="435"/>
      <c r="K50" s="317">
        <f t="shared" si="25"/>
        <v>0</v>
      </c>
      <c r="L50" s="317">
        <f t="shared" si="26"/>
        <v>0</v>
      </c>
      <c r="M50" s="317">
        <f t="shared" si="27"/>
        <v>0</v>
      </c>
      <c r="N50" s="347">
        <f t="shared" si="28"/>
        <v>0</v>
      </c>
      <c r="O50" s="267">
        <f t="shared" si="53"/>
        <v>72</v>
      </c>
      <c r="P50" s="264">
        <f t="shared" si="29"/>
        <v>73</v>
      </c>
      <c r="Q50" s="265">
        <f t="shared" si="30"/>
        <v>52005.301096830284</v>
      </c>
      <c r="R50" s="266">
        <f t="shared" si="31"/>
        <v>39743.994811733326</v>
      </c>
      <c r="S50" s="266">
        <f t="shared" si="32"/>
        <v>7153.9190661119992</v>
      </c>
      <c r="T50" s="266">
        <f t="shared" si="33"/>
        <v>1144.6270505779198</v>
      </c>
      <c r="U50" s="266">
        <f t="shared" si="34"/>
        <v>2554.9710950399995</v>
      </c>
      <c r="V50" s="266">
        <f t="shared" si="35"/>
        <v>1407.7890733670399</v>
      </c>
      <c r="W50" s="435"/>
      <c r="X50" s="317">
        <f t="shared" si="2"/>
        <v>0</v>
      </c>
      <c r="Y50" s="317">
        <f t="shared" si="3"/>
        <v>0</v>
      </c>
      <c r="Z50" s="317">
        <f t="shared" si="4"/>
        <v>0</v>
      </c>
      <c r="AA50" s="347">
        <f t="shared" si="36"/>
        <v>0</v>
      </c>
      <c r="AB50" s="309"/>
      <c r="AC50" s="132"/>
      <c r="AD50" s="136"/>
      <c r="AE50" s="136"/>
      <c r="AF50" s="136"/>
      <c r="AG50" s="13">
        <f t="shared" si="37"/>
        <v>12</v>
      </c>
      <c r="AH50" s="14">
        <f t="shared" si="38"/>
        <v>4200000</v>
      </c>
      <c r="AI50" s="44">
        <f t="shared" si="44"/>
        <v>13</v>
      </c>
      <c r="AJ50" s="55">
        <f t="shared" si="45"/>
        <v>4200000</v>
      </c>
      <c r="AK50" s="59">
        <v>12</v>
      </c>
      <c r="AL50" s="44">
        <f t="shared" si="46"/>
        <v>13</v>
      </c>
      <c r="AM50" s="45">
        <f t="shared" si="39"/>
        <v>42744.566666666658</v>
      </c>
      <c r="AN50" s="44">
        <f t="shared" si="54"/>
        <v>73</v>
      </c>
      <c r="AO50" s="45">
        <f t="shared" si="5"/>
        <v>52005.301096830284</v>
      </c>
      <c r="AP50"/>
      <c r="AQ50" s="46">
        <f t="shared" si="47"/>
        <v>13</v>
      </c>
      <c r="AR50" s="47">
        <f t="shared" si="40"/>
        <v>30154.133333333331</v>
      </c>
      <c r="AS50" s="46">
        <f t="shared" si="55"/>
        <v>73</v>
      </c>
      <c r="AT50" s="47">
        <f t="shared" si="6"/>
        <v>36687.113839356578</v>
      </c>
      <c r="AU50" s="1"/>
      <c r="AV50" s="41">
        <f t="shared" si="7"/>
        <v>0</v>
      </c>
      <c r="AW50" s="41">
        <f t="shared" si="8"/>
        <v>0</v>
      </c>
      <c r="AX50" s="43">
        <f t="shared" si="9"/>
        <v>0</v>
      </c>
      <c r="AY50" s="43">
        <f t="shared" si="10"/>
        <v>0</v>
      </c>
      <c r="AZ50" s="11"/>
      <c r="BA50" s="36">
        <f t="shared" si="48"/>
        <v>13</v>
      </c>
      <c r="BB50" s="35">
        <f t="shared" si="11"/>
        <v>42744.566666666658</v>
      </c>
      <c r="BC50" s="120"/>
      <c r="BD50" s="304">
        <f t="shared" si="49"/>
        <v>13</v>
      </c>
      <c r="BE50" s="303">
        <f t="shared" si="41"/>
        <v>30154.133333333331</v>
      </c>
      <c r="BF50" s="208"/>
      <c r="BG50" s="37">
        <f t="shared" si="50"/>
        <v>13</v>
      </c>
      <c r="BH50" s="8">
        <f t="shared" si="12"/>
        <v>341.03999999999996</v>
      </c>
      <c r="BI50" s="8"/>
      <c r="BJ50" s="37">
        <f t="shared" si="51"/>
        <v>13</v>
      </c>
      <c r="BK50" s="8">
        <f t="shared" si="13"/>
        <v>0</v>
      </c>
      <c r="BL50" s="8"/>
      <c r="BM50" s="4">
        <v>12</v>
      </c>
      <c r="BN50" s="14">
        <f t="shared" si="14"/>
        <v>23333.333333333332</v>
      </c>
      <c r="BO50" s="14">
        <f t="shared" si="15"/>
        <v>5880</v>
      </c>
      <c r="BP50" s="14">
        <f t="shared" si="42"/>
        <v>940.80000000000007</v>
      </c>
      <c r="BQ50" s="14">
        <f t="shared" si="16"/>
        <v>2100</v>
      </c>
      <c r="BR50" s="38">
        <f t="shared" si="17"/>
        <v>32254.133333333331</v>
      </c>
      <c r="BS50" s="1"/>
      <c r="BT50" s="4">
        <v>12</v>
      </c>
      <c r="BU50" s="14">
        <f>SUM(BN$39:BN50)</f>
        <v>280000.00000000006</v>
      </c>
      <c r="BV50" s="14">
        <f>SUM(BO$39:BO50)</f>
        <v>70560</v>
      </c>
      <c r="BW50" s="14">
        <f>SUM(BP$39:BP50)</f>
        <v>11289.599999999999</v>
      </c>
      <c r="BX50" s="14">
        <f>SUM(BQ$39:BQ50)</f>
        <v>25200</v>
      </c>
      <c r="BY50" s="21">
        <f>SUM(BR$39:BR50)</f>
        <v>387049.59999999986</v>
      </c>
    </row>
    <row r="51" spans="1:77" s="96" customFormat="1" ht="18" customHeight="1" x14ac:dyDescent="0.25">
      <c r="A51" s="259"/>
      <c r="B51" s="267">
        <f t="shared" si="52"/>
        <v>13</v>
      </c>
      <c r="C51" s="264">
        <f t="shared" si="43"/>
        <v>14</v>
      </c>
      <c r="D51" s="265">
        <f t="shared" si="19"/>
        <v>44454.349333333332</v>
      </c>
      <c r="E51" s="266">
        <f t="shared" si="20"/>
        <v>33973.333333333336</v>
      </c>
      <c r="F51" s="266">
        <f>IF(B51-1=$AO$101,(SUM(VLOOKUP(AL51,$AI$39:$AJ$159,2,0)*($G$15*(100%-$BB$31+$BB$29))))*$AO$102,IF(B51&gt;$AO$101,0,(SUM(VLOOKUP(AL51,$AI$39:$AJ$159,2,0)*($G$15*(100%-$BB$31+$BB$29))))))</f>
        <v>6115.2</v>
      </c>
      <c r="G51" s="266">
        <f t="shared" si="22"/>
        <v>978.43200000000002</v>
      </c>
      <c r="H51" s="266">
        <f t="shared" si="23"/>
        <v>2184</v>
      </c>
      <c r="I51" s="266">
        <f t="shared" si="24"/>
        <v>1203.384</v>
      </c>
      <c r="J51" s="435">
        <f>'Resumen Flex'!K37</f>
        <v>0</v>
      </c>
      <c r="K51" s="317">
        <f t="shared" si="25"/>
        <v>0</v>
      </c>
      <c r="L51" s="317">
        <f t="shared" ref="L51:L62" si="56">IF(J51=0,0,($AJ51*$G$15*(100%-$BE$27)*$AX51))</f>
        <v>0</v>
      </c>
      <c r="M51" s="317">
        <f t="shared" si="27"/>
        <v>0</v>
      </c>
      <c r="N51" s="347">
        <f t="shared" si="28"/>
        <v>0</v>
      </c>
      <c r="O51" s="267">
        <f t="shared" si="53"/>
        <v>73</v>
      </c>
      <c r="P51" s="264">
        <f t="shared" si="29"/>
        <v>74</v>
      </c>
      <c r="Q51" s="265">
        <f t="shared" si="30"/>
        <v>54085.513140703493</v>
      </c>
      <c r="R51" s="266">
        <f t="shared" si="31"/>
        <v>41333.754604202659</v>
      </c>
      <c r="S51" s="266">
        <f t="shared" si="32"/>
        <v>7440.0758287564786</v>
      </c>
      <c r="T51" s="266">
        <f t="shared" si="33"/>
        <v>1190.4121326010365</v>
      </c>
      <c r="U51" s="266">
        <f t="shared" si="34"/>
        <v>2657.1699388415996</v>
      </c>
      <c r="V51" s="266">
        <f t="shared" si="35"/>
        <v>1464.1006363017216</v>
      </c>
      <c r="W51" s="435">
        <f>'Resumen Flex'!K42</f>
        <v>0</v>
      </c>
      <c r="X51" s="317">
        <f t="shared" si="2"/>
        <v>0</v>
      </c>
      <c r="Y51" s="317">
        <f t="shared" si="3"/>
        <v>0</v>
      </c>
      <c r="Z51" s="317">
        <f t="shared" si="4"/>
        <v>0</v>
      </c>
      <c r="AA51" s="347">
        <f t="shared" si="36"/>
        <v>0</v>
      </c>
      <c r="AB51" s="309"/>
      <c r="AC51" s="136"/>
      <c r="AD51" s="136"/>
      <c r="AE51" s="136"/>
      <c r="AF51" s="136"/>
      <c r="AG51" s="13">
        <f t="shared" si="37"/>
        <v>13</v>
      </c>
      <c r="AH51" s="14">
        <f>((AH50)+(AH50*$D$29))</f>
        <v>4615800</v>
      </c>
      <c r="AI51" s="44">
        <f t="shared" si="44"/>
        <v>14</v>
      </c>
      <c r="AJ51" s="55">
        <f>((AJ50)+(AJ50*$E$29))</f>
        <v>4368000</v>
      </c>
      <c r="AK51" s="59">
        <v>1</v>
      </c>
      <c r="AL51" s="44">
        <f t="shared" si="46"/>
        <v>14</v>
      </c>
      <c r="AM51" s="45">
        <f t="shared" si="39"/>
        <v>44454.349333333332</v>
      </c>
      <c r="AN51" s="44">
        <f t="shared" si="54"/>
        <v>74</v>
      </c>
      <c r="AO51" s="45">
        <f t="shared" si="5"/>
        <v>54085.513140703493</v>
      </c>
      <c r="AP51"/>
      <c r="AQ51" s="46">
        <f t="shared" si="47"/>
        <v>14</v>
      </c>
      <c r="AR51" s="47">
        <f t="shared" si="40"/>
        <v>31360.298666666666</v>
      </c>
      <c r="AS51" s="46">
        <f t="shared" si="55"/>
        <v>74</v>
      </c>
      <c r="AT51" s="47">
        <f t="shared" si="6"/>
        <v>38154.598392930842</v>
      </c>
      <c r="AU51" s="1"/>
      <c r="AV51" s="41">
        <f t="shared" si="7"/>
        <v>0</v>
      </c>
      <c r="AW51" s="41">
        <f t="shared" si="8"/>
        <v>0</v>
      </c>
      <c r="AX51" s="43">
        <f t="shared" si="9"/>
        <v>0</v>
      </c>
      <c r="AY51" s="43">
        <f t="shared" si="10"/>
        <v>0</v>
      </c>
      <c r="AZ51" s="11"/>
      <c r="BA51" s="36">
        <f t="shared" si="48"/>
        <v>14</v>
      </c>
      <c r="BB51" s="35">
        <f t="shared" ref="BB51:BB82" si="57">SUM(VLOOKUP(BA51,$AI$39:$AJ$158,2,0)/$B$10*$K$30,VLOOKUP(BA51,$AI$39:$AJ$158,2,0)*($G$15*(100%-$BB$31+$BB$29))*1.16,VLOOKUP(BA51,$AI$39:$AJ$158,2,0)*$I$15,VLOOKUP(BA51,$AI$39:$AJ$158,2,0)*$J$15)</f>
        <v>44454.349333333332</v>
      </c>
      <c r="BC51" s="120"/>
      <c r="BD51" s="305">
        <f t="shared" si="49"/>
        <v>14</v>
      </c>
      <c r="BE51" s="303">
        <f t="shared" ref="BE51:BE62" si="58">AJ51/$B$10+AJ51*($G$15*(100%-$BE$27)*1.16)</f>
        <v>31360.298666666666</v>
      </c>
      <c r="BF51" s="208"/>
      <c r="BG51" s="37">
        <f t="shared" si="50"/>
        <v>14</v>
      </c>
      <c r="BH51" s="8">
        <f t="shared" si="12"/>
        <v>354.68159999999995</v>
      </c>
      <c r="BI51" s="8"/>
      <c r="BJ51" s="37">
        <f t="shared" si="51"/>
        <v>14</v>
      </c>
      <c r="BK51" s="8">
        <f t="shared" si="13"/>
        <v>0</v>
      </c>
      <c r="BL51" s="8"/>
      <c r="BM51" s="4">
        <v>13</v>
      </c>
      <c r="BN51" s="14">
        <f t="shared" si="14"/>
        <v>25643.333333333332</v>
      </c>
      <c r="BO51" s="14">
        <f t="shared" si="15"/>
        <v>6462.12</v>
      </c>
      <c r="BP51" s="14">
        <f t="shared" si="42"/>
        <v>1033.9392</v>
      </c>
      <c r="BQ51" s="14">
        <f t="shared" si="16"/>
        <v>2307.9</v>
      </c>
      <c r="BR51" s="38">
        <f t="shared" si="17"/>
        <v>35447.292533333333</v>
      </c>
      <c r="BS51" s="1"/>
      <c r="BT51" s="4">
        <v>13</v>
      </c>
      <c r="BU51" s="14">
        <f>SUM(BN$39:BN51)</f>
        <v>305643.33333333337</v>
      </c>
      <c r="BV51" s="14">
        <f>SUM(BO$39:BO51)</f>
        <v>77022.12</v>
      </c>
      <c r="BW51" s="14">
        <f>SUM(BP$39:BP51)</f>
        <v>12323.539199999999</v>
      </c>
      <c r="BX51" s="14">
        <f>SUM(BQ$39:BQ51)</f>
        <v>27507.9</v>
      </c>
      <c r="BY51" s="21">
        <f>SUM(BR$39:BR51)</f>
        <v>422496.89253333322</v>
      </c>
    </row>
    <row r="52" spans="1:77" ht="18" customHeight="1" x14ac:dyDescent="0.25">
      <c r="A52" s="268"/>
      <c r="B52" s="267">
        <f t="shared" si="52"/>
        <v>14</v>
      </c>
      <c r="C52" s="264">
        <f t="shared" si="43"/>
        <v>15</v>
      </c>
      <c r="D52" s="265">
        <f t="shared" si="19"/>
        <v>44454.349333333332</v>
      </c>
      <c r="E52" s="266">
        <f t="shared" si="20"/>
        <v>33973.333333333336</v>
      </c>
      <c r="F52" s="266">
        <f t="shared" ref="F52:F98" si="59">IF(B52-1=$AO$101,(SUM(VLOOKUP(AL52,$AI$39:$AJ$159,2,0)*($G$15*(100%-$BB$31+$BB$29))))*$AO$102,IF(B52&gt;$AO$101,0,(SUM(VLOOKUP(AL52,$AI$39:$AJ$159,2,0)*($G$15*(100%-$BB$31+$BB$29))))))</f>
        <v>6115.2</v>
      </c>
      <c r="G52" s="266">
        <f t="shared" si="22"/>
        <v>978.43200000000002</v>
      </c>
      <c r="H52" s="266">
        <f t="shared" si="23"/>
        <v>2184</v>
      </c>
      <c r="I52" s="266">
        <f t="shared" si="24"/>
        <v>1203.384</v>
      </c>
      <c r="J52" s="435"/>
      <c r="K52" s="317">
        <f t="shared" si="25"/>
        <v>0</v>
      </c>
      <c r="L52" s="317">
        <f t="shared" si="56"/>
        <v>0</v>
      </c>
      <c r="M52" s="317">
        <f t="shared" si="27"/>
        <v>0</v>
      </c>
      <c r="N52" s="347">
        <f t="shared" si="28"/>
        <v>0</v>
      </c>
      <c r="O52" s="267">
        <f t="shared" si="53"/>
        <v>74</v>
      </c>
      <c r="P52" s="264">
        <f t="shared" si="29"/>
        <v>75</v>
      </c>
      <c r="Q52" s="265">
        <f t="shared" si="30"/>
        <v>54085.513140703493</v>
      </c>
      <c r="R52" s="266">
        <f t="shared" si="31"/>
        <v>41333.754604202659</v>
      </c>
      <c r="S52" s="266">
        <f t="shared" si="32"/>
        <v>7440.0758287564786</v>
      </c>
      <c r="T52" s="266">
        <f t="shared" si="33"/>
        <v>1190.4121326010365</v>
      </c>
      <c r="U52" s="266">
        <f t="shared" si="34"/>
        <v>2657.1699388415996</v>
      </c>
      <c r="V52" s="266">
        <f t="shared" si="35"/>
        <v>1464.1006363017216</v>
      </c>
      <c r="W52" s="435"/>
      <c r="X52" s="317">
        <f t="shared" si="2"/>
        <v>0</v>
      </c>
      <c r="Y52" s="317">
        <f t="shared" si="3"/>
        <v>0</v>
      </c>
      <c r="Z52" s="317">
        <f t="shared" si="4"/>
        <v>0</v>
      </c>
      <c r="AA52" s="347">
        <f t="shared" si="36"/>
        <v>0</v>
      </c>
      <c r="AB52" s="309"/>
      <c r="AC52" s="132"/>
      <c r="AD52" s="136"/>
      <c r="AE52" s="136"/>
      <c r="AF52" s="136"/>
      <c r="AG52" s="13">
        <f t="shared" si="37"/>
        <v>14</v>
      </c>
      <c r="AH52" s="14">
        <f t="shared" ref="AH52:AH62" si="60">AH51</f>
        <v>4615800</v>
      </c>
      <c r="AI52" s="44">
        <f t="shared" si="44"/>
        <v>15</v>
      </c>
      <c r="AJ52" s="55">
        <f>AJ51</f>
        <v>4368000</v>
      </c>
      <c r="AK52" s="59">
        <v>2</v>
      </c>
      <c r="AL52" s="44">
        <f t="shared" si="46"/>
        <v>15</v>
      </c>
      <c r="AM52" s="45">
        <f t="shared" si="39"/>
        <v>44454.349333333332</v>
      </c>
      <c r="AN52" s="44">
        <f t="shared" si="54"/>
        <v>75</v>
      </c>
      <c r="AO52" s="45">
        <f t="shared" si="5"/>
        <v>54085.513140703493</v>
      </c>
      <c r="AP52"/>
      <c r="AQ52" s="46">
        <f t="shared" si="47"/>
        <v>15</v>
      </c>
      <c r="AR52" s="47">
        <f t="shared" si="40"/>
        <v>31360.298666666666</v>
      </c>
      <c r="AS52" s="46">
        <f t="shared" si="55"/>
        <v>75</v>
      </c>
      <c r="AT52" s="47">
        <f t="shared" si="6"/>
        <v>38154.598392930842</v>
      </c>
      <c r="AV52" s="41">
        <f t="shared" si="7"/>
        <v>0</v>
      </c>
      <c r="AW52" s="41">
        <f t="shared" si="8"/>
        <v>0</v>
      </c>
      <c r="AX52" s="43">
        <f t="shared" si="9"/>
        <v>0</v>
      </c>
      <c r="AY52" s="43">
        <f t="shared" si="10"/>
        <v>0</v>
      </c>
      <c r="AZ52" s="11"/>
      <c r="BA52" s="36">
        <f t="shared" si="48"/>
        <v>15</v>
      </c>
      <c r="BB52" s="35">
        <f t="shared" si="57"/>
        <v>44454.349333333332</v>
      </c>
      <c r="BC52" s="120"/>
      <c r="BD52" s="305">
        <f t="shared" si="49"/>
        <v>15</v>
      </c>
      <c r="BE52" s="303">
        <f t="shared" si="58"/>
        <v>31360.298666666666</v>
      </c>
      <c r="BF52" s="208"/>
      <c r="BG52" s="37">
        <f t="shared" si="50"/>
        <v>15</v>
      </c>
      <c r="BH52" s="8">
        <f t="shared" si="12"/>
        <v>354.68159999999995</v>
      </c>
      <c r="BI52" s="8"/>
      <c r="BJ52" s="37">
        <f t="shared" si="51"/>
        <v>15</v>
      </c>
      <c r="BK52" s="8">
        <f t="shared" si="13"/>
        <v>0</v>
      </c>
      <c r="BL52" s="8"/>
      <c r="BM52" s="4">
        <v>14</v>
      </c>
      <c r="BN52" s="14">
        <f t="shared" si="14"/>
        <v>25643.333333333332</v>
      </c>
      <c r="BO52" s="14">
        <f t="shared" si="15"/>
        <v>6462.12</v>
      </c>
      <c r="BP52" s="14">
        <f t="shared" si="42"/>
        <v>1033.9392</v>
      </c>
      <c r="BQ52" s="14">
        <f t="shared" si="16"/>
        <v>2307.9</v>
      </c>
      <c r="BR52" s="38">
        <f t="shared" si="17"/>
        <v>35447.292533333333</v>
      </c>
      <c r="BT52" s="4">
        <v>14</v>
      </c>
      <c r="BU52" s="14">
        <f>SUM(BN$39:BN52)</f>
        <v>331286.66666666669</v>
      </c>
      <c r="BV52" s="14">
        <f>SUM(BO$39:BO52)</f>
        <v>83484.239999999991</v>
      </c>
      <c r="BW52" s="14">
        <f>SUM(BP$39:BP52)</f>
        <v>13357.4784</v>
      </c>
      <c r="BX52" s="14">
        <f>SUM(BQ$39:BQ52)</f>
        <v>29815.800000000003</v>
      </c>
      <c r="BY52" s="21">
        <f>SUM(BR$39:BR52)</f>
        <v>457944.18506666657</v>
      </c>
    </row>
    <row r="53" spans="1:77" ht="18" customHeight="1" x14ac:dyDescent="0.25">
      <c r="A53" s="268"/>
      <c r="B53" s="267">
        <f t="shared" si="52"/>
        <v>15</v>
      </c>
      <c r="C53" s="264">
        <f t="shared" si="43"/>
        <v>16</v>
      </c>
      <c r="D53" s="265">
        <f t="shared" si="19"/>
        <v>44454.349333333332</v>
      </c>
      <c r="E53" s="266">
        <f t="shared" si="20"/>
        <v>33973.333333333336</v>
      </c>
      <c r="F53" s="266">
        <f t="shared" si="59"/>
        <v>6115.2</v>
      </c>
      <c r="G53" s="266">
        <f t="shared" si="22"/>
        <v>978.43200000000002</v>
      </c>
      <c r="H53" s="266">
        <f t="shared" si="23"/>
        <v>2184</v>
      </c>
      <c r="I53" s="266">
        <f t="shared" si="24"/>
        <v>1203.384</v>
      </c>
      <c r="J53" s="435"/>
      <c r="K53" s="317">
        <f t="shared" si="25"/>
        <v>0</v>
      </c>
      <c r="L53" s="317">
        <f t="shared" si="56"/>
        <v>0</v>
      </c>
      <c r="M53" s="317">
        <f t="shared" si="27"/>
        <v>0</v>
      </c>
      <c r="N53" s="347">
        <f t="shared" si="28"/>
        <v>0</v>
      </c>
      <c r="O53" s="267">
        <f t="shared" si="53"/>
        <v>75</v>
      </c>
      <c r="P53" s="264">
        <f t="shared" si="29"/>
        <v>76</v>
      </c>
      <c r="Q53" s="265">
        <f t="shared" si="30"/>
        <v>54085.513140703493</v>
      </c>
      <c r="R53" s="266">
        <f t="shared" si="31"/>
        <v>41333.754604202659</v>
      </c>
      <c r="S53" s="266">
        <f t="shared" si="32"/>
        <v>7440.0758287564786</v>
      </c>
      <c r="T53" s="266">
        <f t="shared" si="33"/>
        <v>1190.4121326010365</v>
      </c>
      <c r="U53" s="266">
        <f t="shared" si="34"/>
        <v>2657.1699388415996</v>
      </c>
      <c r="V53" s="266">
        <f t="shared" si="35"/>
        <v>1464.1006363017216</v>
      </c>
      <c r="W53" s="435"/>
      <c r="X53" s="317">
        <f t="shared" si="2"/>
        <v>0</v>
      </c>
      <c r="Y53" s="317">
        <f t="shared" si="3"/>
        <v>0</v>
      </c>
      <c r="Z53" s="317">
        <f t="shared" si="4"/>
        <v>0</v>
      </c>
      <c r="AA53" s="347">
        <f t="shared" si="36"/>
        <v>0</v>
      </c>
      <c r="AB53" s="309"/>
      <c r="AC53" s="132"/>
      <c r="AD53" s="136"/>
      <c r="AE53" s="136"/>
      <c r="AF53" s="136"/>
      <c r="AG53" s="13">
        <f t="shared" si="37"/>
        <v>15</v>
      </c>
      <c r="AH53" s="14">
        <f t="shared" si="60"/>
        <v>4615800</v>
      </c>
      <c r="AI53" s="44">
        <f t="shared" si="44"/>
        <v>16</v>
      </c>
      <c r="AJ53" s="55">
        <f t="shared" ref="AJ53:AJ62" si="61">AJ52</f>
        <v>4368000</v>
      </c>
      <c r="AK53" s="59">
        <v>3</v>
      </c>
      <c r="AL53" s="44">
        <f t="shared" si="46"/>
        <v>16</v>
      </c>
      <c r="AM53" s="45">
        <f t="shared" si="39"/>
        <v>44454.349333333332</v>
      </c>
      <c r="AN53" s="44">
        <f t="shared" si="54"/>
        <v>76</v>
      </c>
      <c r="AO53" s="45">
        <f t="shared" si="5"/>
        <v>54085.513140703493</v>
      </c>
      <c r="AP53"/>
      <c r="AQ53" s="46">
        <f t="shared" si="47"/>
        <v>16</v>
      </c>
      <c r="AR53" s="47">
        <f t="shared" si="40"/>
        <v>31360.298666666666</v>
      </c>
      <c r="AS53" s="46">
        <f t="shared" si="55"/>
        <v>76</v>
      </c>
      <c r="AT53" s="47">
        <f>IFERROR(VLOOKUP(AS53,$BD$39:$BE$218,2,0),0)</f>
        <v>38154.598392930842</v>
      </c>
      <c r="AV53" s="41">
        <f t="shared" si="7"/>
        <v>0</v>
      </c>
      <c r="AW53" s="41">
        <f t="shared" si="8"/>
        <v>0</v>
      </c>
      <c r="AX53" s="43">
        <f t="shared" si="9"/>
        <v>0</v>
      </c>
      <c r="AY53" s="43">
        <f>IFERROR(AW53/AT53,0)</f>
        <v>0</v>
      </c>
      <c r="AZ53" s="11"/>
      <c r="BA53" s="36">
        <f t="shared" si="48"/>
        <v>16</v>
      </c>
      <c r="BB53" s="35">
        <f t="shared" si="57"/>
        <v>44454.349333333332</v>
      </c>
      <c r="BC53" s="120"/>
      <c r="BD53" s="305">
        <f t="shared" si="49"/>
        <v>16</v>
      </c>
      <c r="BE53" s="303">
        <f t="shared" si="58"/>
        <v>31360.298666666666</v>
      </c>
      <c r="BF53" s="208"/>
      <c r="BG53" s="37">
        <f t="shared" si="50"/>
        <v>16</v>
      </c>
      <c r="BH53" s="8">
        <f t="shared" si="12"/>
        <v>354.68159999999995</v>
      </c>
      <c r="BI53" s="8"/>
      <c r="BJ53" s="37">
        <f t="shared" si="51"/>
        <v>16</v>
      </c>
      <c r="BK53" s="8">
        <f t="shared" si="13"/>
        <v>0</v>
      </c>
      <c r="BL53" s="8"/>
      <c r="BM53" s="4">
        <v>15</v>
      </c>
      <c r="BN53" s="14">
        <f t="shared" si="14"/>
        <v>25643.333333333332</v>
      </c>
      <c r="BO53" s="14">
        <f t="shared" si="15"/>
        <v>6462.12</v>
      </c>
      <c r="BP53" s="14">
        <f t="shared" si="42"/>
        <v>1033.9392</v>
      </c>
      <c r="BQ53" s="14">
        <f t="shared" si="16"/>
        <v>2307.9</v>
      </c>
      <c r="BR53" s="38">
        <f t="shared" si="17"/>
        <v>35447.292533333333</v>
      </c>
      <c r="BT53" s="4">
        <v>15</v>
      </c>
      <c r="BU53" s="14">
        <f>SUM(BN$39:BN53)</f>
        <v>356930</v>
      </c>
      <c r="BV53" s="14">
        <f>SUM(BO$39:BO53)</f>
        <v>89946.359999999986</v>
      </c>
      <c r="BW53" s="14">
        <f>SUM(BP$39:BP53)</f>
        <v>14391.417600000001</v>
      </c>
      <c r="BX53" s="14">
        <f>SUM(BQ$39:BQ53)</f>
        <v>32123.700000000004</v>
      </c>
      <c r="BY53" s="21">
        <f>SUM(BR$39:BR53)</f>
        <v>493391.47759999993</v>
      </c>
    </row>
    <row r="54" spans="1:77" ht="18" customHeight="1" x14ac:dyDescent="0.25">
      <c r="A54" s="268"/>
      <c r="B54" s="267">
        <f t="shared" si="52"/>
        <v>16</v>
      </c>
      <c r="C54" s="264">
        <f t="shared" si="43"/>
        <v>17</v>
      </c>
      <c r="D54" s="265">
        <f t="shared" si="19"/>
        <v>44454.349333333332</v>
      </c>
      <c r="E54" s="266">
        <f t="shared" si="20"/>
        <v>33973.333333333336</v>
      </c>
      <c r="F54" s="266">
        <f t="shared" si="59"/>
        <v>6115.2</v>
      </c>
      <c r="G54" s="266">
        <f t="shared" si="22"/>
        <v>978.43200000000002</v>
      </c>
      <c r="H54" s="266">
        <f t="shared" si="23"/>
        <v>2184</v>
      </c>
      <c r="I54" s="266">
        <f t="shared" si="24"/>
        <v>1203.384</v>
      </c>
      <c r="J54" s="435"/>
      <c r="K54" s="317">
        <f t="shared" si="25"/>
        <v>0</v>
      </c>
      <c r="L54" s="317">
        <f t="shared" si="56"/>
        <v>0</v>
      </c>
      <c r="M54" s="317">
        <f t="shared" si="27"/>
        <v>0</v>
      </c>
      <c r="N54" s="347">
        <f t="shared" si="28"/>
        <v>0</v>
      </c>
      <c r="O54" s="267">
        <f t="shared" si="53"/>
        <v>76</v>
      </c>
      <c r="P54" s="264">
        <f t="shared" si="29"/>
        <v>77</v>
      </c>
      <c r="Q54" s="265">
        <f t="shared" si="30"/>
        <v>54085.513140703493</v>
      </c>
      <c r="R54" s="266">
        <f t="shared" si="31"/>
        <v>41333.754604202659</v>
      </c>
      <c r="S54" s="266">
        <f t="shared" si="32"/>
        <v>7440.0758287564786</v>
      </c>
      <c r="T54" s="266">
        <f t="shared" si="33"/>
        <v>1190.4121326010365</v>
      </c>
      <c r="U54" s="266">
        <f t="shared" si="34"/>
        <v>2657.1699388415996</v>
      </c>
      <c r="V54" s="266">
        <f t="shared" si="35"/>
        <v>1464.1006363017216</v>
      </c>
      <c r="W54" s="435"/>
      <c r="X54" s="317">
        <f t="shared" si="2"/>
        <v>0</v>
      </c>
      <c r="Y54" s="317">
        <f t="shared" si="3"/>
        <v>0</v>
      </c>
      <c r="Z54" s="317">
        <f t="shared" si="4"/>
        <v>0</v>
      </c>
      <c r="AA54" s="347">
        <f t="shared" si="36"/>
        <v>0</v>
      </c>
      <c r="AB54" s="309"/>
      <c r="AC54" s="136"/>
      <c r="AD54" s="136"/>
      <c r="AE54" s="136"/>
      <c r="AF54" s="136"/>
      <c r="AG54" s="13">
        <f t="shared" si="37"/>
        <v>16</v>
      </c>
      <c r="AH54" s="14">
        <f t="shared" si="60"/>
        <v>4615800</v>
      </c>
      <c r="AI54" s="44">
        <f t="shared" si="44"/>
        <v>17</v>
      </c>
      <c r="AJ54" s="55">
        <f t="shared" si="61"/>
        <v>4368000</v>
      </c>
      <c r="AK54" s="59">
        <v>4</v>
      </c>
      <c r="AL54" s="44">
        <f t="shared" si="46"/>
        <v>17</v>
      </c>
      <c r="AM54" s="45">
        <f t="shared" si="39"/>
        <v>44454.349333333332</v>
      </c>
      <c r="AN54" s="44">
        <f t="shared" si="54"/>
        <v>77</v>
      </c>
      <c r="AO54" s="45">
        <f t="shared" si="5"/>
        <v>54085.513140703493</v>
      </c>
      <c r="AP54"/>
      <c r="AQ54" s="46">
        <f t="shared" si="47"/>
        <v>17</v>
      </c>
      <c r="AR54" s="47">
        <f>IFERROR(VLOOKUP(AQ54,$BD$39:$BE$218,2,0),0)</f>
        <v>31360.298666666666</v>
      </c>
      <c r="AS54" s="46">
        <f t="shared" si="55"/>
        <v>77</v>
      </c>
      <c r="AT54" s="47">
        <f t="shared" si="6"/>
        <v>38154.598392930842</v>
      </c>
      <c r="AV54" s="41">
        <f t="shared" si="7"/>
        <v>0</v>
      </c>
      <c r="AW54" s="41">
        <f t="shared" si="8"/>
        <v>0</v>
      </c>
      <c r="AX54" s="43">
        <f t="shared" si="9"/>
        <v>0</v>
      </c>
      <c r="AY54" s="43">
        <f t="shared" si="10"/>
        <v>0</v>
      </c>
      <c r="AZ54" s="11"/>
      <c r="BA54" s="36">
        <f t="shared" si="48"/>
        <v>17</v>
      </c>
      <c r="BB54" s="35">
        <f t="shared" si="57"/>
        <v>44454.349333333332</v>
      </c>
      <c r="BC54" s="120"/>
      <c r="BD54" s="305">
        <f t="shared" si="49"/>
        <v>17</v>
      </c>
      <c r="BE54" s="303">
        <f t="shared" si="58"/>
        <v>31360.298666666666</v>
      </c>
      <c r="BF54" s="208"/>
      <c r="BG54" s="37">
        <f t="shared" si="50"/>
        <v>17</v>
      </c>
      <c r="BH54" s="8">
        <f t="shared" si="12"/>
        <v>354.68159999999995</v>
      </c>
      <c r="BI54" s="8"/>
      <c r="BJ54" s="37">
        <f t="shared" si="51"/>
        <v>17</v>
      </c>
      <c r="BK54" s="8">
        <f t="shared" si="13"/>
        <v>0</v>
      </c>
      <c r="BL54" s="8"/>
      <c r="BM54" s="4">
        <v>16</v>
      </c>
      <c r="BN54" s="14">
        <f t="shared" si="14"/>
        <v>25643.333333333332</v>
      </c>
      <c r="BO54" s="14">
        <f t="shared" si="15"/>
        <v>6462.12</v>
      </c>
      <c r="BP54" s="14">
        <f t="shared" si="42"/>
        <v>1033.9392</v>
      </c>
      <c r="BQ54" s="14">
        <f t="shared" si="16"/>
        <v>2307.9</v>
      </c>
      <c r="BR54" s="38">
        <f t="shared" si="17"/>
        <v>35447.292533333333</v>
      </c>
      <c r="BT54" s="4">
        <v>16</v>
      </c>
      <c r="BU54" s="14">
        <f>SUM(BN$39:BN54)</f>
        <v>382573.33333333331</v>
      </c>
      <c r="BV54" s="14">
        <f>SUM(BO$39:BO54)</f>
        <v>96408.479999999981</v>
      </c>
      <c r="BW54" s="14">
        <f>SUM(BP$39:BP54)</f>
        <v>15425.356800000001</v>
      </c>
      <c r="BX54" s="14">
        <f>SUM(BQ$39:BQ54)</f>
        <v>34431.600000000006</v>
      </c>
      <c r="BY54" s="21">
        <f>SUM(BR$39:BR54)</f>
        <v>528838.77013333328</v>
      </c>
    </row>
    <row r="55" spans="1:77" ht="18" customHeight="1" x14ac:dyDescent="0.25">
      <c r="A55" s="268"/>
      <c r="B55" s="267">
        <f t="shared" si="52"/>
        <v>17</v>
      </c>
      <c r="C55" s="264">
        <f t="shared" si="43"/>
        <v>18</v>
      </c>
      <c r="D55" s="265">
        <f t="shared" si="19"/>
        <v>44454.349333333332</v>
      </c>
      <c r="E55" s="266">
        <f t="shared" si="20"/>
        <v>33973.333333333336</v>
      </c>
      <c r="F55" s="266">
        <f t="shared" si="59"/>
        <v>6115.2</v>
      </c>
      <c r="G55" s="266">
        <f t="shared" si="22"/>
        <v>978.43200000000002</v>
      </c>
      <c r="H55" s="266">
        <f t="shared" si="23"/>
        <v>2184</v>
      </c>
      <c r="I55" s="266">
        <f t="shared" si="24"/>
        <v>1203.384</v>
      </c>
      <c r="J55" s="435"/>
      <c r="K55" s="317">
        <f t="shared" si="25"/>
        <v>0</v>
      </c>
      <c r="L55" s="317">
        <f t="shared" si="56"/>
        <v>0</v>
      </c>
      <c r="M55" s="317">
        <f t="shared" si="27"/>
        <v>0</v>
      </c>
      <c r="N55" s="347">
        <f t="shared" si="28"/>
        <v>0</v>
      </c>
      <c r="O55" s="267">
        <f t="shared" si="53"/>
        <v>77</v>
      </c>
      <c r="P55" s="264">
        <f t="shared" si="29"/>
        <v>78</v>
      </c>
      <c r="Q55" s="265">
        <f t="shared" si="30"/>
        <v>54085.513140703493</v>
      </c>
      <c r="R55" s="266">
        <f t="shared" si="31"/>
        <v>41333.754604202659</v>
      </c>
      <c r="S55" s="266">
        <f t="shared" si="32"/>
        <v>7440.0758287564786</v>
      </c>
      <c r="T55" s="266">
        <f t="shared" si="33"/>
        <v>1190.4121326010365</v>
      </c>
      <c r="U55" s="266">
        <f t="shared" si="34"/>
        <v>2657.1699388415996</v>
      </c>
      <c r="V55" s="266">
        <f t="shared" si="35"/>
        <v>1464.1006363017216</v>
      </c>
      <c r="W55" s="435"/>
      <c r="X55" s="317">
        <f t="shared" si="2"/>
        <v>0</v>
      </c>
      <c r="Y55" s="317">
        <f t="shared" si="3"/>
        <v>0</v>
      </c>
      <c r="Z55" s="317">
        <f t="shared" si="4"/>
        <v>0</v>
      </c>
      <c r="AA55" s="347">
        <f t="shared" si="36"/>
        <v>0</v>
      </c>
      <c r="AB55" s="309"/>
      <c r="AC55" s="136"/>
      <c r="AD55" s="136"/>
      <c r="AE55" s="136"/>
      <c r="AF55" s="136"/>
      <c r="AG55" s="13">
        <f t="shared" si="37"/>
        <v>17</v>
      </c>
      <c r="AH55" s="14">
        <f t="shared" si="60"/>
        <v>4615800</v>
      </c>
      <c r="AI55" s="44">
        <f t="shared" si="44"/>
        <v>18</v>
      </c>
      <c r="AJ55" s="55">
        <f t="shared" si="61"/>
        <v>4368000</v>
      </c>
      <c r="AK55" s="59">
        <v>5</v>
      </c>
      <c r="AL55" s="44">
        <f t="shared" si="46"/>
        <v>18</v>
      </c>
      <c r="AM55" s="45">
        <f t="shared" si="39"/>
        <v>44454.349333333332</v>
      </c>
      <c r="AN55" s="44">
        <f t="shared" si="54"/>
        <v>78</v>
      </c>
      <c r="AO55" s="45">
        <f t="shared" si="5"/>
        <v>54085.513140703493</v>
      </c>
      <c r="AP55" s="42"/>
      <c r="AQ55" s="46">
        <f t="shared" si="47"/>
        <v>18</v>
      </c>
      <c r="AR55" s="47">
        <f t="shared" si="40"/>
        <v>31360.298666666666</v>
      </c>
      <c r="AS55" s="46">
        <f t="shared" si="55"/>
        <v>78</v>
      </c>
      <c r="AT55" s="47">
        <f t="shared" si="6"/>
        <v>38154.598392930842</v>
      </c>
      <c r="AV55" s="41">
        <f t="shared" si="7"/>
        <v>0</v>
      </c>
      <c r="AW55" s="41">
        <f t="shared" si="8"/>
        <v>0</v>
      </c>
      <c r="AX55" s="43">
        <f t="shared" si="9"/>
        <v>0</v>
      </c>
      <c r="AY55" s="43">
        <f t="shared" si="10"/>
        <v>0</v>
      </c>
      <c r="AZ55" s="11"/>
      <c r="BA55" s="36">
        <f t="shared" si="48"/>
        <v>18</v>
      </c>
      <c r="BB55" s="35">
        <f t="shared" si="57"/>
        <v>44454.349333333332</v>
      </c>
      <c r="BC55" s="120"/>
      <c r="BD55" s="305">
        <f t="shared" si="49"/>
        <v>18</v>
      </c>
      <c r="BE55" s="303">
        <f t="shared" si="58"/>
        <v>31360.298666666666</v>
      </c>
      <c r="BF55" s="208"/>
      <c r="BG55" s="37">
        <f t="shared" si="50"/>
        <v>18</v>
      </c>
      <c r="BH55" s="8">
        <f t="shared" si="12"/>
        <v>354.68159999999995</v>
      </c>
      <c r="BI55" s="8"/>
      <c r="BJ55" s="37">
        <f t="shared" si="51"/>
        <v>18</v>
      </c>
      <c r="BK55" s="8">
        <f t="shared" si="13"/>
        <v>0</v>
      </c>
      <c r="BL55" s="8"/>
      <c r="BM55" s="4">
        <v>17</v>
      </c>
      <c r="BN55" s="14">
        <f t="shared" si="14"/>
        <v>25643.333333333332</v>
      </c>
      <c r="BO55" s="14">
        <f t="shared" si="15"/>
        <v>6462.12</v>
      </c>
      <c r="BP55" s="14">
        <f t="shared" si="42"/>
        <v>1033.9392</v>
      </c>
      <c r="BQ55" s="14">
        <f t="shared" si="16"/>
        <v>2307.9</v>
      </c>
      <c r="BR55" s="38">
        <f t="shared" si="17"/>
        <v>35447.292533333333</v>
      </c>
      <c r="BT55" s="4">
        <v>17</v>
      </c>
      <c r="BU55" s="14">
        <f>SUM(BN$39:BN55)</f>
        <v>408216.66666666663</v>
      </c>
      <c r="BV55" s="14">
        <f>SUM(BO$39:BO55)</f>
        <v>102870.59999999998</v>
      </c>
      <c r="BW55" s="14">
        <f>SUM(BP$39:BP55)</f>
        <v>16459.296000000002</v>
      </c>
      <c r="BX55" s="14">
        <f>SUM(BQ$39:BQ55)</f>
        <v>36739.500000000007</v>
      </c>
      <c r="BY55" s="21">
        <f>SUM(BR$39:BR55)</f>
        <v>564286.06266666658</v>
      </c>
    </row>
    <row r="56" spans="1:77" ht="18" customHeight="1" x14ac:dyDescent="0.25">
      <c r="A56" s="268"/>
      <c r="B56" s="267">
        <f t="shared" si="52"/>
        <v>18</v>
      </c>
      <c r="C56" s="264">
        <f t="shared" si="43"/>
        <v>19</v>
      </c>
      <c r="D56" s="265">
        <f t="shared" si="19"/>
        <v>44454.349333333332</v>
      </c>
      <c r="E56" s="266">
        <f t="shared" si="20"/>
        <v>33973.333333333336</v>
      </c>
      <c r="F56" s="266">
        <f t="shared" si="59"/>
        <v>6115.2</v>
      </c>
      <c r="G56" s="266">
        <f t="shared" si="22"/>
        <v>978.43200000000002</v>
      </c>
      <c r="H56" s="266">
        <f t="shared" si="23"/>
        <v>2184</v>
      </c>
      <c r="I56" s="266">
        <f t="shared" si="24"/>
        <v>1203.384</v>
      </c>
      <c r="J56" s="435"/>
      <c r="K56" s="317">
        <f t="shared" si="25"/>
        <v>0</v>
      </c>
      <c r="L56" s="317">
        <f t="shared" si="56"/>
        <v>0</v>
      </c>
      <c r="M56" s="317">
        <f t="shared" si="27"/>
        <v>0</v>
      </c>
      <c r="N56" s="347">
        <f t="shared" si="28"/>
        <v>0</v>
      </c>
      <c r="O56" s="267">
        <f t="shared" si="53"/>
        <v>78</v>
      </c>
      <c r="P56" s="264">
        <f t="shared" si="29"/>
        <v>79</v>
      </c>
      <c r="Q56" s="265">
        <f t="shared" si="30"/>
        <v>54085.513140703493</v>
      </c>
      <c r="R56" s="266">
        <f t="shared" si="31"/>
        <v>41333.754604202659</v>
      </c>
      <c r="S56" s="266">
        <f t="shared" si="32"/>
        <v>7440.0758287564786</v>
      </c>
      <c r="T56" s="266">
        <f t="shared" si="33"/>
        <v>1190.4121326010365</v>
      </c>
      <c r="U56" s="266">
        <f t="shared" si="34"/>
        <v>2657.1699388415996</v>
      </c>
      <c r="V56" s="266">
        <f t="shared" si="35"/>
        <v>1464.1006363017216</v>
      </c>
      <c r="W56" s="435"/>
      <c r="X56" s="317">
        <f t="shared" si="2"/>
        <v>0</v>
      </c>
      <c r="Y56" s="317">
        <f t="shared" si="3"/>
        <v>0</v>
      </c>
      <c r="Z56" s="317">
        <f t="shared" si="4"/>
        <v>0</v>
      </c>
      <c r="AA56" s="347">
        <f t="shared" si="36"/>
        <v>0</v>
      </c>
      <c r="AB56" s="309"/>
      <c r="AC56" s="141"/>
      <c r="AD56" s="136"/>
      <c r="AE56" s="136"/>
      <c r="AF56" s="141"/>
      <c r="AG56" s="13">
        <f t="shared" si="37"/>
        <v>18</v>
      </c>
      <c r="AH56" s="14">
        <f t="shared" si="60"/>
        <v>4615800</v>
      </c>
      <c r="AI56" s="44">
        <f t="shared" si="44"/>
        <v>19</v>
      </c>
      <c r="AJ56" s="55">
        <f t="shared" si="61"/>
        <v>4368000</v>
      </c>
      <c r="AK56" s="59">
        <v>6</v>
      </c>
      <c r="AL56" s="44">
        <f t="shared" si="46"/>
        <v>19</v>
      </c>
      <c r="AM56" s="45">
        <f t="shared" si="39"/>
        <v>44454.349333333332</v>
      </c>
      <c r="AN56" s="44">
        <f t="shared" si="54"/>
        <v>79</v>
      </c>
      <c r="AO56" s="45">
        <f t="shared" si="5"/>
        <v>54085.513140703493</v>
      </c>
      <c r="AP56"/>
      <c r="AQ56" s="46">
        <f t="shared" si="47"/>
        <v>19</v>
      </c>
      <c r="AR56" s="47">
        <f t="shared" si="40"/>
        <v>31360.298666666666</v>
      </c>
      <c r="AS56" s="46">
        <f t="shared" si="55"/>
        <v>79</v>
      </c>
      <c r="AT56" s="47">
        <f t="shared" si="6"/>
        <v>38154.598392930842</v>
      </c>
      <c r="AV56" s="41">
        <f t="shared" si="7"/>
        <v>0</v>
      </c>
      <c r="AW56" s="41">
        <f t="shared" si="8"/>
        <v>0</v>
      </c>
      <c r="AX56" s="43">
        <f t="shared" si="9"/>
        <v>0</v>
      </c>
      <c r="AY56" s="43">
        <f t="shared" si="10"/>
        <v>0</v>
      </c>
      <c r="AZ56" s="11"/>
      <c r="BA56" s="36">
        <f t="shared" si="48"/>
        <v>19</v>
      </c>
      <c r="BB56" s="35">
        <f t="shared" si="57"/>
        <v>44454.349333333332</v>
      </c>
      <c r="BC56" s="120"/>
      <c r="BD56" s="305">
        <f t="shared" si="49"/>
        <v>19</v>
      </c>
      <c r="BE56" s="303">
        <f t="shared" si="58"/>
        <v>31360.298666666666</v>
      </c>
      <c r="BF56" s="208"/>
      <c r="BG56" s="37">
        <f t="shared" si="50"/>
        <v>19</v>
      </c>
      <c r="BH56" s="8">
        <f t="shared" si="12"/>
        <v>354.68159999999995</v>
      </c>
      <c r="BI56" s="8"/>
      <c r="BJ56" s="37">
        <f t="shared" si="51"/>
        <v>19</v>
      </c>
      <c r="BK56" s="8">
        <f t="shared" si="13"/>
        <v>0</v>
      </c>
      <c r="BL56" s="8"/>
      <c r="BM56" s="4">
        <v>18</v>
      </c>
      <c r="BN56" s="14">
        <f t="shared" si="14"/>
        <v>25643.333333333332</v>
      </c>
      <c r="BO56" s="14">
        <f t="shared" si="15"/>
        <v>6462.12</v>
      </c>
      <c r="BP56" s="14">
        <f t="shared" si="42"/>
        <v>1033.9392</v>
      </c>
      <c r="BQ56" s="14">
        <f t="shared" si="16"/>
        <v>2307.9</v>
      </c>
      <c r="BR56" s="38">
        <f t="shared" si="17"/>
        <v>35447.292533333333</v>
      </c>
      <c r="BT56" s="4">
        <v>18</v>
      </c>
      <c r="BU56" s="14">
        <f>SUM(BN$39:BN56)</f>
        <v>433859.99999999994</v>
      </c>
      <c r="BV56" s="14">
        <f>SUM(BO$39:BO56)</f>
        <v>109332.71999999997</v>
      </c>
      <c r="BW56" s="14">
        <f>SUM(BP$39:BP56)</f>
        <v>17493.235200000003</v>
      </c>
      <c r="BX56" s="14">
        <f>SUM(BQ$39:BQ56)</f>
        <v>39047.400000000009</v>
      </c>
      <c r="BY56" s="21">
        <f>SUM(BR$39:BR56)</f>
        <v>599733.35519999987</v>
      </c>
    </row>
    <row r="57" spans="1:77" ht="18" customHeight="1" x14ac:dyDescent="0.25">
      <c r="A57" s="268"/>
      <c r="B57" s="267">
        <f t="shared" si="52"/>
        <v>19</v>
      </c>
      <c r="C57" s="264">
        <f t="shared" si="43"/>
        <v>20</v>
      </c>
      <c r="D57" s="265">
        <f t="shared" si="19"/>
        <v>44454.349333333332</v>
      </c>
      <c r="E57" s="266">
        <f t="shared" si="20"/>
        <v>33973.333333333336</v>
      </c>
      <c r="F57" s="266">
        <f t="shared" si="59"/>
        <v>6115.2</v>
      </c>
      <c r="G57" s="266">
        <f t="shared" si="22"/>
        <v>978.43200000000002</v>
      </c>
      <c r="H57" s="266">
        <f t="shared" si="23"/>
        <v>2184</v>
      </c>
      <c r="I57" s="266">
        <f t="shared" si="24"/>
        <v>1203.384</v>
      </c>
      <c r="J57" s="435"/>
      <c r="K57" s="317">
        <f t="shared" si="25"/>
        <v>0</v>
      </c>
      <c r="L57" s="317">
        <f t="shared" si="56"/>
        <v>0</v>
      </c>
      <c r="M57" s="317">
        <f t="shared" si="27"/>
        <v>0</v>
      </c>
      <c r="N57" s="347">
        <f t="shared" si="28"/>
        <v>0</v>
      </c>
      <c r="O57" s="267">
        <f t="shared" si="53"/>
        <v>79</v>
      </c>
      <c r="P57" s="264">
        <f t="shared" si="29"/>
        <v>80</v>
      </c>
      <c r="Q57" s="265">
        <f t="shared" si="30"/>
        <v>54085.513140703493</v>
      </c>
      <c r="R57" s="266">
        <f t="shared" si="31"/>
        <v>41333.754604202659</v>
      </c>
      <c r="S57" s="266">
        <f t="shared" si="32"/>
        <v>7440.0758287564786</v>
      </c>
      <c r="T57" s="266">
        <f t="shared" si="33"/>
        <v>1190.4121326010365</v>
      </c>
      <c r="U57" s="266">
        <f t="shared" si="34"/>
        <v>2657.1699388415996</v>
      </c>
      <c r="V57" s="266">
        <f t="shared" si="35"/>
        <v>1464.1006363017216</v>
      </c>
      <c r="W57" s="435"/>
      <c r="X57" s="317">
        <f t="shared" si="2"/>
        <v>0</v>
      </c>
      <c r="Y57" s="317">
        <f t="shared" si="3"/>
        <v>0</v>
      </c>
      <c r="Z57" s="317">
        <f t="shared" si="4"/>
        <v>0</v>
      </c>
      <c r="AA57" s="347">
        <f t="shared" si="36"/>
        <v>0</v>
      </c>
      <c r="AB57" s="309"/>
      <c r="AC57" s="136"/>
      <c r="AD57" s="136"/>
      <c r="AE57" s="136"/>
      <c r="AF57" s="136"/>
      <c r="AG57" s="13">
        <f t="shared" si="37"/>
        <v>19</v>
      </c>
      <c r="AH57" s="14">
        <f t="shared" si="60"/>
        <v>4615800</v>
      </c>
      <c r="AI57" s="44">
        <f t="shared" si="44"/>
        <v>20</v>
      </c>
      <c r="AJ57" s="55">
        <f t="shared" si="61"/>
        <v>4368000</v>
      </c>
      <c r="AK57" s="59">
        <v>7</v>
      </c>
      <c r="AL57" s="44">
        <f t="shared" si="46"/>
        <v>20</v>
      </c>
      <c r="AM57" s="45">
        <f t="shared" si="39"/>
        <v>44454.349333333332</v>
      </c>
      <c r="AN57" s="44">
        <f t="shared" si="54"/>
        <v>80</v>
      </c>
      <c r="AO57" s="45">
        <f t="shared" si="5"/>
        <v>54085.513140703493</v>
      </c>
      <c r="AP57"/>
      <c r="AQ57" s="46">
        <f t="shared" si="47"/>
        <v>20</v>
      </c>
      <c r="AR57" s="47">
        <f t="shared" si="40"/>
        <v>31360.298666666666</v>
      </c>
      <c r="AS57" s="46">
        <f t="shared" si="55"/>
        <v>80</v>
      </c>
      <c r="AT57" s="47">
        <f t="shared" si="6"/>
        <v>38154.598392930842</v>
      </c>
      <c r="AV57" s="41">
        <f t="shared" si="7"/>
        <v>0</v>
      </c>
      <c r="AW57" s="41">
        <f t="shared" si="8"/>
        <v>0</v>
      </c>
      <c r="AX57" s="43">
        <f t="shared" si="9"/>
        <v>0</v>
      </c>
      <c r="AY57" s="43">
        <f t="shared" si="10"/>
        <v>0</v>
      </c>
      <c r="AZ57" s="11"/>
      <c r="BA57" s="36">
        <f t="shared" si="48"/>
        <v>20</v>
      </c>
      <c r="BB57" s="35">
        <f t="shared" si="57"/>
        <v>44454.349333333332</v>
      </c>
      <c r="BC57" s="120"/>
      <c r="BD57" s="305">
        <f t="shared" si="49"/>
        <v>20</v>
      </c>
      <c r="BE57" s="303">
        <f t="shared" si="58"/>
        <v>31360.298666666666</v>
      </c>
      <c r="BF57" s="208"/>
      <c r="BG57" s="37">
        <f t="shared" si="50"/>
        <v>20</v>
      </c>
      <c r="BH57" s="8">
        <f t="shared" si="12"/>
        <v>354.68159999999995</v>
      </c>
      <c r="BI57" s="8"/>
      <c r="BJ57" s="37">
        <f t="shared" si="51"/>
        <v>20</v>
      </c>
      <c r="BK57" s="8">
        <f t="shared" si="13"/>
        <v>0</v>
      </c>
      <c r="BL57" s="8"/>
      <c r="BM57" s="4">
        <v>19</v>
      </c>
      <c r="BN57" s="14">
        <f t="shared" si="14"/>
        <v>25643.333333333332</v>
      </c>
      <c r="BO57" s="14">
        <f t="shared" si="15"/>
        <v>6462.12</v>
      </c>
      <c r="BP57" s="14">
        <f t="shared" si="42"/>
        <v>1033.9392</v>
      </c>
      <c r="BQ57" s="14">
        <f t="shared" si="16"/>
        <v>2307.9</v>
      </c>
      <c r="BR57" s="38">
        <f t="shared" si="17"/>
        <v>35447.292533333333</v>
      </c>
      <c r="BT57" s="4">
        <v>19</v>
      </c>
      <c r="BU57" s="14">
        <f>SUM(BN$39:BN57)</f>
        <v>459503.33333333326</v>
      </c>
      <c r="BV57" s="14">
        <f>SUM(BO$39:BO57)</f>
        <v>115794.83999999997</v>
      </c>
      <c r="BW57" s="14">
        <f>SUM(BP$39:BP57)</f>
        <v>18527.174400000004</v>
      </c>
      <c r="BX57" s="14">
        <f>SUM(BQ$39:BQ57)</f>
        <v>41355.30000000001</v>
      </c>
      <c r="BY57" s="21">
        <f>SUM(BR$39:BR57)</f>
        <v>635180.64773333317</v>
      </c>
    </row>
    <row r="58" spans="1:77" ht="18" customHeight="1" x14ac:dyDescent="0.25">
      <c r="A58" s="268"/>
      <c r="B58" s="267">
        <f t="shared" si="52"/>
        <v>20</v>
      </c>
      <c r="C58" s="264">
        <f t="shared" si="43"/>
        <v>21</v>
      </c>
      <c r="D58" s="265">
        <f t="shared" si="19"/>
        <v>44454.349333333332</v>
      </c>
      <c r="E58" s="266">
        <f t="shared" si="20"/>
        <v>33973.333333333336</v>
      </c>
      <c r="F58" s="266">
        <f t="shared" si="59"/>
        <v>6115.2</v>
      </c>
      <c r="G58" s="266">
        <f t="shared" si="22"/>
        <v>978.43200000000002</v>
      </c>
      <c r="H58" s="266">
        <f t="shared" si="23"/>
        <v>2184</v>
      </c>
      <c r="I58" s="266">
        <f t="shared" si="24"/>
        <v>1203.384</v>
      </c>
      <c r="J58" s="435"/>
      <c r="K58" s="317">
        <f t="shared" si="25"/>
        <v>0</v>
      </c>
      <c r="L58" s="317">
        <f t="shared" si="56"/>
        <v>0</v>
      </c>
      <c r="M58" s="317">
        <f t="shared" si="27"/>
        <v>0</v>
      </c>
      <c r="N58" s="347">
        <f t="shared" si="28"/>
        <v>0</v>
      </c>
      <c r="O58" s="267">
        <f t="shared" si="53"/>
        <v>80</v>
      </c>
      <c r="P58" s="264">
        <f t="shared" si="29"/>
        <v>81</v>
      </c>
      <c r="Q58" s="265">
        <f t="shared" si="30"/>
        <v>54085.513140703493</v>
      </c>
      <c r="R58" s="266">
        <f t="shared" si="31"/>
        <v>41333.754604202659</v>
      </c>
      <c r="S58" s="266">
        <f t="shared" si="32"/>
        <v>7440.0758287564786</v>
      </c>
      <c r="T58" s="266">
        <f t="shared" si="33"/>
        <v>1190.4121326010365</v>
      </c>
      <c r="U58" s="266">
        <f t="shared" si="34"/>
        <v>2657.1699388415996</v>
      </c>
      <c r="V58" s="266">
        <f t="shared" si="35"/>
        <v>1464.1006363017216</v>
      </c>
      <c r="W58" s="435"/>
      <c r="X58" s="317">
        <f t="shared" si="2"/>
        <v>0</v>
      </c>
      <c r="Y58" s="317">
        <f t="shared" si="3"/>
        <v>0</v>
      </c>
      <c r="Z58" s="317">
        <f t="shared" si="4"/>
        <v>0</v>
      </c>
      <c r="AA58" s="347">
        <f t="shared" si="36"/>
        <v>0</v>
      </c>
      <c r="AB58" s="309"/>
      <c r="AC58" s="136"/>
      <c r="AD58" s="136"/>
      <c r="AE58" s="136"/>
      <c r="AF58" s="136"/>
      <c r="AG58" s="13">
        <f t="shared" si="37"/>
        <v>20</v>
      </c>
      <c r="AH58" s="14">
        <f t="shared" si="60"/>
        <v>4615800</v>
      </c>
      <c r="AI58" s="44">
        <f t="shared" si="44"/>
        <v>21</v>
      </c>
      <c r="AJ58" s="55">
        <f t="shared" si="61"/>
        <v>4368000</v>
      </c>
      <c r="AK58" s="59">
        <v>8</v>
      </c>
      <c r="AL58" s="44">
        <f t="shared" si="46"/>
        <v>21</v>
      </c>
      <c r="AM58" s="45">
        <f t="shared" si="39"/>
        <v>44454.349333333332</v>
      </c>
      <c r="AN58" s="44">
        <f t="shared" si="54"/>
        <v>81</v>
      </c>
      <c r="AO58" s="45">
        <f t="shared" si="5"/>
        <v>54085.513140703493</v>
      </c>
      <c r="AP58"/>
      <c r="AQ58" s="46">
        <f t="shared" si="47"/>
        <v>21</v>
      </c>
      <c r="AR58" s="47">
        <f t="shared" si="40"/>
        <v>31360.298666666666</v>
      </c>
      <c r="AS58" s="46">
        <f t="shared" si="55"/>
        <v>81</v>
      </c>
      <c r="AT58" s="47">
        <f t="shared" si="6"/>
        <v>38154.598392930842</v>
      </c>
      <c r="AV58" s="41">
        <f t="shared" si="7"/>
        <v>0</v>
      </c>
      <c r="AW58" s="41">
        <f t="shared" si="8"/>
        <v>0</v>
      </c>
      <c r="AX58" s="43">
        <f t="shared" si="9"/>
        <v>0</v>
      </c>
      <c r="AY58" s="43">
        <f t="shared" si="10"/>
        <v>0</v>
      </c>
      <c r="AZ58" s="11"/>
      <c r="BA58" s="36">
        <f t="shared" si="48"/>
        <v>21</v>
      </c>
      <c r="BB58" s="35">
        <f t="shared" si="57"/>
        <v>44454.349333333332</v>
      </c>
      <c r="BC58" s="120"/>
      <c r="BD58" s="305">
        <f t="shared" si="49"/>
        <v>21</v>
      </c>
      <c r="BE58" s="303">
        <f t="shared" si="58"/>
        <v>31360.298666666666</v>
      </c>
      <c r="BF58" s="208"/>
      <c r="BG58" s="37">
        <f t="shared" si="50"/>
        <v>21</v>
      </c>
      <c r="BH58" s="8">
        <f t="shared" si="12"/>
        <v>354.68159999999995</v>
      </c>
      <c r="BI58" s="8"/>
      <c r="BJ58" s="37">
        <f t="shared" si="51"/>
        <v>21</v>
      </c>
      <c r="BK58" s="8">
        <f t="shared" si="13"/>
        <v>0</v>
      </c>
      <c r="BL58" s="8"/>
      <c r="BM58" s="4">
        <v>20</v>
      </c>
      <c r="BN58" s="14">
        <f t="shared" si="14"/>
        <v>25643.333333333332</v>
      </c>
      <c r="BO58" s="14">
        <f t="shared" si="15"/>
        <v>6462.12</v>
      </c>
      <c r="BP58" s="14">
        <f t="shared" si="42"/>
        <v>1033.9392</v>
      </c>
      <c r="BQ58" s="14">
        <f t="shared" si="16"/>
        <v>2307.9</v>
      </c>
      <c r="BR58" s="38">
        <f t="shared" si="17"/>
        <v>35447.292533333333</v>
      </c>
      <c r="BT58" s="4">
        <v>20</v>
      </c>
      <c r="BU58" s="14">
        <f>SUM(BN$39:BN58)</f>
        <v>485146.66666666657</v>
      </c>
      <c r="BV58" s="14">
        <f>SUM(BO$39:BO58)</f>
        <v>122256.95999999996</v>
      </c>
      <c r="BW58" s="14">
        <f>SUM(BP$39:BP58)</f>
        <v>19561.113600000004</v>
      </c>
      <c r="BX58" s="14">
        <f>SUM(BQ$39:BQ58)</f>
        <v>43663.200000000012</v>
      </c>
      <c r="BY58" s="21">
        <f>SUM(BR$39:BR58)</f>
        <v>670627.94026666647</v>
      </c>
    </row>
    <row r="59" spans="1:77" ht="18" customHeight="1" x14ac:dyDescent="0.25">
      <c r="A59" s="268"/>
      <c r="B59" s="267">
        <f t="shared" si="52"/>
        <v>21</v>
      </c>
      <c r="C59" s="264">
        <f t="shared" si="43"/>
        <v>22</v>
      </c>
      <c r="D59" s="265">
        <f t="shared" si="19"/>
        <v>44454.349333333332</v>
      </c>
      <c r="E59" s="266">
        <f t="shared" si="20"/>
        <v>33973.333333333336</v>
      </c>
      <c r="F59" s="266">
        <f t="shared" si="59"/>
        <v>6115.2</v>
      </c>
      <c r="G59" s="266">
        <f t="shared" si="22"/>
        <v>978.43200000000002</v>
      </c>
      <c r="H59" s="266">
        <f t="shared" si="23"/>
        <v>2184</v>
      </c>
      <c r="I59" s="266">
        <f t="shared" si="24"/>
        <v>1203.384</v>
      </c>
      <c r="J59" s="435"/>
      <c r="K59" s="317">
        <f t="shared" si="25"/>
        <v>0</v>
      </c>
      <c r="L59" s="317">
        <f t="shared" si="56"/>
        <v>0</v>
      </c>
      <c r="M59" s="317">
        <f t="shared" si="27"/>
        <v>0</v>
      </c>
      <c r="N59" s="347">
        <f t="shared" si="28"/>
        <v>0</v>
      </c>
      <c r="O59" s="267">
        <f t="shared" si="53"/>
        <v>81</v>
      </c>
      <c r="P59" s="264">
        <f t="shared" si="29"/>
        <v>82</v>
      </c>
      <c r="Q59" s="265">
        <f t="shared" si="30"/>
        <v>54085.513140703493</v>
      </c>
      <c r="R59" s="266">
        <f t="shared" si="31"/>
        <v>41333.754604202659</v>
      </c>
      <c r="S59" s="266">
        <f t="shared" si="32"/>
        <v>7440.0758287564786</v>
      </c>
      <c r="T59" s="266">
        <f t="shared" si="33"/>
        <v>1190.4121326010365</v>
      </c>
      <c r="U59" s="266">
        <f t="shared" si="34"/>
        <v>2657.1699388415996</v>
      </c>
      <c r="V59" s="266">
        <f t="shared" si="35"/>
        <v>1464.1006363017216</v>
      </c>
      <c r="W59" s="435"/>
      <c r="X59" s="317">
        <f t="shared" si="2"/>
        <v>0</v>
      </c>
      <c r="Y59" s="317">
        <f t="shared" si="3"/>
        <v>0</v>
      </c>
      <c r="Z59" s="317">
        <f t="shared" si="4"/>
        <v>0</v>
      </c>
      <c r="AA59" s="347">
        <f t="shared" si="36"/>
        <v>0</v>
      </c>
      <c r="AB59" s="309"/>
      <c r="AC59" s="136"/>
      <c r="AD59" s="136"/>
      <c r="AE59" s="136"/>
      <c r="AF59" s="136"/>
      <c r="AG59" s="13">
        <f t="shared" si="37"/>
        <v>21</v>
      </c>
      <c r="AH59" s="14">
        <f t="shared" si="60"/>
        <v>4615800</v>
      </c>
      <c r="AI59" s="44">
        <f t="shared" si="44"/>
        <v>22</v>
      </c>
      <c r="AJ59" s="55">
        <f t="shared" si="61"/>
        <v>4368000</v>
      </c>
      <c r="AK59" s="59">
        <v>9</v>
      </c>
      <c r="AL59" s="44">
        <f t="shared" si="46"/>
        <v>22</v>
      </c>
      <c r="AM59" s="45">
        <f t="shared" si="39"/>
        <v>44454.349333333332</v>
      </c>
      <c r="AN59" s="44">
        <f t="shared" si="54"/>
        <v>82</v>
      </c>
      <c r="AO59" s="45">
        <f t="shared" si="5"/>
        <v>54085.513140703493</v>
      </c>
      <c r="AP59"/>
      <c r="AQ59" s="46">
        <f t="shared" si="47"/>
        <v>22</v>
      </c>
      <c r="AR59" s="47">
        <f t="shared" si="40"/>
        <v>31360.298666666666</v>
      </c>
      <c r="AS59" s="46">
        <f t="shared" si="55"/>
        <v>82</v>
      </c>
      <c r="AT59" s="47">
        <f t="shared" si="6"/>
        <v>38154.598392930842</v>
      </c>
      <c r="AV59" s="41">
        <f t="shared" si="7"/>
        <v>0</v>
      </c>
      <c r="AW59" s="41">
        <f t="shared" si="8"/>
        <v>0</v>
      </c>
      <c r="AX59" s="43">
        <f t="shared" si="9"/>
        <v>0</v>
      </c>
      <c r="AY59" s="43">
        <f t="shared" si="10"/>
        <v>0</v>
      </c>
      <c r="AZ59" s="11"/>
      <c r="BA59" s="36">
        <f t="shared" si="48"/>
        <v>22</v>
      </c>
      <c r="BB59" s="35">
        <f t="shared" si="57"/>
        <v>44454.349333333332</v>
      </c>
      <c r="BC59" s="120"/>
      <c r="BD59" s="305">
        <f t="shared" si="49"/>
        <v>22</v>
      </c>
      <c r="BE59" s="303">
        <f t="shared" si="58"/>
        <v>31360.298666666666</v>
      </c>
      <c r="BF59" s="208"/>
      <c r="BG59" s="37">
        <f t="shared" si="50"/>
        <v>22</v>
      </c>
      <c r="BH59" s="8">
        <f t="shared" si="12"/>
        <v>354.68159999999995</v>
      </c>
      <c r="BI59" s="8"/>
      <c r="BJ59" s="37">
        <f t="shared" si="51"/>
        <v>22</v>
      </c>
      <c r="BK59" s="8">
        <f t="shared" si="13"/>
        <v>0</v>
      </c>
      <c r="BL59" s="8"/>
      <c r="BM59" s="4">
        <v>21</v>
      </c>
      <c r="BN59" s="14">
        <f t="shared" si="14"/>
        <v>25643.333333333332</v>
      </c>
      <c r="BO59" s="14">
        <f t="shared" si="15"/>
        <v>6462.12</v>
      </c>
      <c r="BP59" s="14">
        <f t="shared" si="42"/>
        <v>1033.9392</v>
      </c>
      <c r="BQ59" s="14">
        <f t="shared" si="16"/>
        <v>2307.9</v>
      </c>
      <c r="BR59" s="38">
        <f t="shared" si="17"/>
        <v>35447.292533333333</v>
      </c>
      <c r="BT59" s="4">
        <v>21</v>
      </c>
      <c r="BU59" s="14">
        <f>SUM(BN$39:BN59)</f>
        <v>510789.99999999988</v>
      </c>
      <c r="BV59" s="14">
        <f>SUM(BO$39:BO59)</f>
        <v>128719.07999999996</v>
      </c>
      <c r="BW59" s="14">
        <f>SUM(BP$39:BP59)</f>
        <v>20595.052800000005</v>
      </c>
      <c r="BX59" s="14">
        <f>SUM(BQ$39:BQ59)</f>
        <v>45971.100000000013</v>
      </c>
      <c r="BY59" s="21">
        <f>SUM(BR$39:BR59)</f>
        <v>706075.23279999977</v>
      </c>
    </row>
    <row r="60" spans="1:77" ht="18" customHeight="1" x14ac:dyDescent="0.25">
      <c r="A60" s="268"/>
      <c r="B60" s="267">
        <f t="shared" si="52"/>
        <v>22</v>
      </c>
      <c r="C60" s="264">
        <f t="shared" si="43"/>
        <v>23</v>
      </c>
      <c r="D60" s="265">
        <f t="shared" si="19"/>
        <v>44454.349333333332</v>
      </c>
      <c r="E60" s="266">
        <f t="shared" si="20"/>
        <v>33973.333333333336</v>
      </c>
      <c r="F60" s="266">
        <f t="shared" si="59"/>
        <v>6115.2</v>
      </c>
      <c r="G60" s="266">
        <f t="shared" si="22"/>
        <v>978.43200000000002</v>
      </c>
      <c r="H60" s="266">
        <f t="shared" si="23"/>
        <v>2184</v>
      </c>
      <c r="I60" s="266">
        <f t="shared" si="24"/>
        <v>1203.384</v>
      </c>
      <c r="J60" s="435"/>
      <c r="K60" s="317">
        <f t="shared" si="25"/>
        <v>0</v>
      </c>
      <c r="L60" s="317">
        <f t="shared" si="56"/>
        <v>0</v>
      </c>
      <c r="M60" s="317">
        <f t="shared" si="27"/>
        <v>0</v>
      </c>
      <c r="N60" s="347">
        <f t="shared" si="28"/>
        <v>0</v>
      </c>
      <c r="O60" s="267">
        <f t="shared" si="53"/>
        <v>82</v>
      </c>
      <c r="P60" s="264">
        <f t="shared" si="29"/>
        <v>83</v>
      </c>
      <c r="Q60" s="265">
        <f t="shared" si="30"/>
        <v>54085.513140703493</v>
      </c>
      <c r="R60" s="266">
        <f t="shared" si="31"/>
        <v>41333.754604202659</v>
      </c>
      <c r="S60" s="266">
        <f t="shared" si="32"/>
        <v>7440.0758287564786</v>
      </c>
      <c r="T60" s="266">
        <f t="shared" si="33"/>
        <v>1190.4121326010365</v>
      </c>
      <c r="U60" s="266">
        <f t="shared" si="34"/>
        <v>2657.1699388415996</v>
      </c>
      <c r="V60" s="266">
        <f t="shared" si="35"/>
        <v>1464.1006363017216</v>
      </c>
      <c r="W60" s="435"/>
      <c r="X60" s="317">
        <f t="shared" si="2"/>
        <v>0</v>
      </c>
      <c r="Y60" s="317">
        <f t="shared" si="3"/>
        <v>0</v>
      </c>
      <c r="Z60" s="317">
        <f t="shared" si="4"/>
        <v>0</v>
      </c>
      <c r="AA60" s="347">
        <f t="shared" si="36"/>
        <v>0</v>
      </c>
      <c r="AB60" s="309"/>
      <c r="AC60" s="136"/>
      <c r="AD60" s="136"/>
      <c r="AE60" s="136"/>
      <c r="AF60" s="136"/>
      <c r="AG60" s="13">
        <f t="shared" si="37"/>
        <v>22</v>
      </c>
      <c r="AH60" s="14">
        <f t="shared" si="60"/>
        <v>4615800</v>
      </c>
      <c r="AI60" s="44">
        <f t="shared" si="44"/>
        <v>23</v>
      </c>
      <c r="AJ60" s="55">
        <f t="shared" si="61"/>
        <v>4368000</v>
      </c>
      <c r="AK60" s="59">
        <v>10</v>
      </c>
      <c r="AL60" s="44">
        <f t="shared" si="46"/>
        <v>23</v>
      </c>
      <c r="AM60" s="45">
        <f t="shared" si="39"/>
        <v>44454.349333333332</v>
      </c>
      <c r="AN60" s="44">
        <f t="shared" si="54"/>
        <v>83</v>
      </c>
      <c r="AO60" s="45">
        <f t="shared" si="5"/>
        <v>54085.513140703493</v>
      </c>
      <c r="AP60"/>
      <c r="AQ60" s="46">
        <f t="shared" si="47"/>
        <v>23</v>
      </c>
      <c r="AR60" s="47">
        <f t="shared" si="40"/>
        <v>31360.298666666666</v>
      </c>
      <c r="AS60" s="46">
        <f t="shared" si="55"/>
        <v>83</v>
      </c>
      <c r="AT60" s="47">
        <f t="shared" si="6"/>
        <v>38154.598392930842</v>
      </c>
      <c r="AV60" s="41">
        <f t="shared" si="7"/>
        <v>0</v>
      </c>
      <c r="AW60" s="41">
        <f t="shared" si="8"/>
        <v>0</v>
      </c>
      <c r="AX60" s="43">
        <f t="shared" si="9"/>
        <v>0</v>
      </c>
      <c r="AY60" s="43">
        <f t="shared" si="10"/>
        <v>0</v>
      </c>
      <c r="AZ60" s="11"/>
      <c r="BA60" s="36">
        <f t="shared" si="48"/>
        <v>23</v>
      </c>
      <c r="BB60" s="35">
        <f t="shared" si="57"/>
        <v>44454.349333333332</v>
      </c>
      <c r="BC60" s="120"/>
      <c r="BD60" s="305">
        <f t="shared" si="49"/>
        <v>23</v>
      </c>
      <c r="BE60" s="303">
        <f t="shared" si="58"/>
        <v>31360.298666666666</v>
      </c>
      <c r="BF60" s="208"/>
      <c r="BG60" s="37">
        <f t="shared" si="50"/>
        <v>23</v>
      </c>
      <c r="BH60" s="8">
        <f t="shared" si="12"/>
        <v>354.68159999999995</v>
      </c>
      <c r="BI60" s="8"/>
      <c r="BJ60" s="37">
        <f t="shared" si="51"/>
        <v>23</v>
      </c>
      <c r="BK60" s="8">
        <f t="shared" si="13"/>
        <v>0</v>
      </c>
      <c r="BL60" s="8"/>
      <c r="BM60" s="4">
        <v>22</v>
      </c>
      <c r="BN60" s="14">
        <f t="shared" si="14"/>
        <v>25643.333333333332</v>
      </c>
      <c r="BO60" s="14">
        <f t="shared" si="15"/>
        <v>6462.12</v>
      </c>
      <c r="BP60" s="14">
        <f t="shared" si="42"/>
        <v>1033.9392</v>
      </c>
      <c r="BQ60" s="14">
        <f t="shared" si="16"/>
        <v>2307.9</v>
      </c>
      <c r="BR60" s="38">
        <f t="shared" si="17"/>
        <v>35447.292533333333</v>
      </c>
      <c r="BT60" s="4">
        <v>22</v>
      </c>
      <c r="BU60" s="14">
        <f>SUM(BN$39:BN60)</f>
        <v>536433.33333333326</v>
      </c>
      <c r="BV60" s="14">
        <f>SUM(BO$39:BO60)</f>
        <v>135181.19999999995</v>
      </c>
      <c r="BW60" s="14">
        <f>SUM(BP$39:BP60)</f>
        <v>21628.992000000006</v>
      </c>
      <c r="BX60" s="14">
        <f>SUM(BQ$39:BQ60)</f>
        <v>48279.000000000015</v>
      </c>
      <c r="BY60" s="21">
        <f>SUM(BR$39:BR60)</f>
        <v>741522.52533333306</v>
      </c>
    </row>
    <row r="61" spans="1:77" ht="18" customHeight="1" x14ac:dyDescent="0.25">
      <c r="A61" s="268"/>
      <c r="B61" s="267">
        <f t="shared" si="52"/>
        <v>23</v>
      </c>
      <c r="C61" s="264">
        <f t="shared" si="43"/>
        <v>24</v>
      </c>
      <c r="D61" s="265">
        <f t="shared" si="19"/>
        <v>44454.349333333332</v>
      </c>
      <c r="E61" s="266">
        <f t="shared" si="20"/>
        <v>33973.333333333336</v>
      </c>
      <c r="F61" s="266">
        <f t="shared" si="59"/>
        <v>6115.2</v>
      </c>
      <c r="G61" s="266">
        <f t="shared" si="22"/>
        <v>978.43200000000002</v>
      </c>
      <c r="H61" s="266">
        <f t="shared" si="23"/>
        <v>2184</v>
      </c>
      <c r="I61" s="266">
        <f t="shared" si="24"/>
        <v>1203.384</v>
      </c>
      <c r="J61" s="435"/>
      <c r="K61" s="317">
        <f t="shared" si="25"/>
        <v>0</v>
      </c>
      <c r="L61" s="317">
        <f t="shared" si="56"/>
        <v>0</v>
      </c>
      <c r="M61" s="317">
        <f t="shared" si="27"/>
        <v>0</v>
      </c>
      <c r="N61" s="347">
        <f t="shared" si="28"/>
        <v>0</v>
      </c>
      <c r="O61" s="267">
        <f t="shared" si="53"/>
        <v>83</v>
      </c>
      <c r="P61" s="264">
        <f t="shared" si="29"/>
        <v>84</v>
      </c>
      <c r="Q61" s="265">
        <f t="shared" si="30"/>
        <v>54085.513140703493</v>
      </c>
      <c r="R61" s="266">
        <f t="shared" si="31"/>
        <v>41333.754604202659</v>
      </c>
      <c r="S61" s="266">
        <f t="shared" si="32"/>
        <v>7440.0758287564786</v>
      </c>
      <c r="T61" s="266">
        <f t="shared" si="33"/>
        <v>1190.4121326010365</v>
      </c>
      <c r="U61" s="266">
        <f t="shared" si="34"/>
        <v>2657.1699388415996</v>
      </c>
      <c r="V61" s="266">
        <f t="shared" si="35"/>
        <v>1464.1006363017216</v>
      </c>
      <c r="W61" s="435"/>
      <c r="X61" s="317">
        <f t="shared" si="2"/>
        <v>0</v>
      </c>
      <c r="Y61" s="317">
        <f t="shared" si="3"/>
        <v>0</v>
      </c>
      <c r="Z61" s="317">
        <f t="shared" si="4"/>
        <v>0</v>
      </c>
      <c r="AA61" s="347">
        <f t="shared" si="36"/>
        <v>0</v>
      </c>
      <c r="AB61" s="309"/>
      <c r="AC61" s="136"/>
      <c r="AD61" s="136"/>
      <c r="AE61" s="136"/>
      <c r="AF61" s="136"/>
      <c r="AG61" s="13">
        <f t="shared" si="37"/>
        <v>23</v>
      </c>
      <c r="AH61" s="14">
        <f t="shared" si="60"/>
        <v>4615800</v>
      </c>
      <c r="AI61" s="44">
        <f t="shared" si="44"/>
        <v>24</v>
      </c>
      <c r="AJ61" s="55">
        <f t="shared" si="61"/>
        <v>4368000</v>
      </c>
      <c r="AK61" s="59">
        <v>11</v>
      </c>
      <c r="AL61" s="44">
        <f t="shared" si="46"/>
        <v>24</v>
      </c>
      <c r="AM61" s="45">
        <f t="shared" si="39"/>
        <v>44454.349333333332</v>
      </c>
      <c r="AN61" s="44">
        <f t="shared" si="54"/>
        <v>84</v>
      </c>
      <c r="AO61" s="45">
        <f t="shared" si="5"/>
        <v>54085.513140703493</v>
      </c>
      <c r="AP61"/>
      <c r="AQ61" s="46">
        <f t="shared" si="47"/>
        <v>24</v>
      </c>
      <c r="AR61" s="47">
        <f t="shared" si="40"/>
        <v>31360.298666666666</v>
      </c>
      <c r="AS61" s="46">
        <f t="shared" si="55"/>
        <v>84</v>
      </c>
      <c r="AT61" s="47">
        <f t="shared" si="6"/>
        <v>38154.598392930842</v>
      </c>
      <c r="AV61" s="41">
        <f t="shared" si="7"/>
        <v>0</v>
      </c>
      <c r="AW61" s="41">
        <f t="shared" si="8"/>
        <v>0</v>
      </c>
      <c r="AX61" s="43">
        <f t="shared" si="9"/>
        <v>0</v>
      </c>
      <c r="AY61" s="43">
        <f t="shared" si="10"/>
        <v>0</v>
      </c>
      <c r="AZ61" s="11"/>
      <c r="BA61" s="36">
        <f t="shared" si="48"/>
        <v>24</v>
      </c>
      <c r="BB61" s="35">
        <f t="shared" si="57"/>
        <v>44454.349333333332</v>
      </c>
      <c r="BC61" s="120"/>
      <c r="BD61" s="305">
        <f t="shared" si="49"/>
        <v>24</v>
      </c>
      <c r="BE61" s="303">
        <f t="shared" si="58"/>
        <v>31360.298666666666</v>
      </c>
      <c r="BF61" s="208"/>
      <c r="BG61" s="37">
        <f t="shared" si="50"/>
        <v>24</v>
      </c>
      <c r="BH61" s="8">
        <f t="shared" si="12"/>
        <v>354.68159999999995</v>
      </c>
      <c r="BI61" s="8"/>
      <c r="BJ61" s="37">
        <f t="shared" si="51"/>
        <v>24</v>
      </c>
      <c r="BK61" s="8">
        <f t="shared" si="13"/>
        <v>0</v>
      </c>
      <c r="BL61" s="8"/>
      <c r="BM61" s="4">
        <v>23</v>
      </c>
      <c r="BN61" s="14">
        <f t="shared" si="14"/>
        <v>25643.333333333332</v>
      </c>
      <c r="BO61" s="14">
        <f t="shared" si="15"/>
        <v>6462.12</v>
      </c>
      <c r="BP61" s="14">
        <f t="shared" si="42"/>
        <v>1033.9392</v>
      </c>
      <c r="BQ61" s="14">
        <f t="shared" si="16"/>
        <v>2307.9</v>
      </c>
      <c r="BR61" s="38">
        <f t="shared" si="17"/>
        <v>35447.292533333333</v>
      </c>
      <c r="BT61" s="4">
        <v>23</v>
      </c>
      <c r="BU61" s="14">
        <f>SUM(BN$39:BN61)</f>
        <v>562076.66666666663</v>
      </c>
      <c r="BV61" s="14">
        <f>SUM(BO$39:BO61)</f>
        <v>141643.31999999995</v>
      </c>
      <c r="BW61" s="14">
        <f>SUM(BP$39:BP61)</f>
        <v>22662.931200000006</v>
      </c>
      <c r="BX61" s="14">
        <f>SUM(BQ$39:BQ61)</f>
        <v>50586.900000000016</v>
      </c>
      <c r="BY61" s="21">
        <f>SUM(BR$39:BR61)</f>
        <v>776969.81786666636</v>
      </c>
    </row>
    <row r="62" spans="1:77" ht="18" customHeight="1" x14ac:dyDescent="0.25">
      <c r="A62" s="268"/>
      <c r="B62" s="267">
        <f t="shared" si="52"/>
        <v>24</v>
      </c>
      <c r="C62" s="264">
        <f t="shared" si="43"/>
        <v>25</v>
      </c>
      <c r="D62" s="265">
        <f t="shared" si="19"/>
        <v>44454.349333333332</v>
      </c>
      <c r="E62" s="266">
        <f t="shared" si="20"/>
        <v>33973.333333333336</v>
      </c>
      <c r="F62" s="266">
        <f t="shared" si="59"/>
        <v>6115.2</v>
      </c>
      <c r="G62" s="266">
        <f t="shared" si="22"/>
        <v>978.43200000000002</v>
      </c>
      <c r="H62" s="266">
        <f t="shared" si="23"/>
        <v>2184</v>
      </c>
      <c r="I62" s="266">
        <f t="shared" si="24"/>
        <v>1203.384</v>
      </c>
      <c r="J62" s="435"/>
      <c r="K62" s="317">
        <f t="shared" si="25"/>
        <v>0</v>
      </c>
      <c r="L62" s="317">
        <f t="shared" si="56"/>
        <v>0</v>
      </c>
      <c r="M62" s="317">
        <f t="shared" si="27"/>
        <v>0</v>
      </c>
      <c r="N62" s="347">
        <f t="shared" si="28"/>
        <v>0</v>
      </c>
      <c r="O62" s="267">
        <f t="shared" si="53"/>
        <v>84</v>
      </c>
      <c r="P62" s="264">
        <f t="shared" si="29"/>
        <v>85</v>
      </c>
      <c r="Q62" s="265">
        <f t="shared" si="30"/>
        <v>54085.513140703493</v>
      </c>
      <c r="R62" s="266">
        <f t="shared" si="31"/>
        <v>41333.754604202659</v>
      </c>
      <c r="S62" s="266">
        <f t="shared" si="32"/>
        <v>7440.0758287564786</v>
      </c>
      <c r="T62" s="266">
        <f t="shared" si="33"/>
        <v>1190.4121326010365</v>
      </c>
      <c r="U62" s="266">
        <f t="shared" si="34"/>
        <v>2657.1699388415996</v>
      </c>
      <c r="V62" s="266">
        <f t="shared" si="35"/>
        <v>1464.1006363017216</v>
      </c>
      <c r="W62" s="435"/>
      <c r="X62" s="317">
        <f t="shared" si="2"/>
        <v>0</v>
      </c>
      <c r="Y62" s="317">
        <f t="shared" si="3"/>
        <v>0</v>
      </c>
      <c r="Z62" s="317">
        <f t="shared" si="4"/>
        <v>0</v>
      </c>
      <c r="AA62" s="347">
        <f t="shared" si="36"/>
        <v>0</v>
      </c>
      <c r="AB62" s="309"/>
      <c r="AC62" s="136"/>
      <c r="AD62" s="136"/>
      <c r="AE62" s="136"/>
      <c r="AF62" s="136"/>
      <c r="AG62" s="13">
        <f t="shared" si="37"/>
        <v>24</v>
      </c>
      <c r="AH62" s="14">
        <f t="shared" si="60"/>
        <v>4615800</v>
      </c>
      <c r="AI62" s="44">
        <f t="shared" si="44"/>
        <v>25</v>
      </c>
      <c r="AJ62" s="55">
        <f t="shared" si="61"/>
        <v>4368000</v>
      </c>
      <c r="AK62" s="59">
        <v>12</v>
      </c>
      <c r="AL62" s="44">
        <f t="shared" si="46"/>
        <v>25</v>
      </c>
      <c r="AM62" s="45">
        <f t="shared" si="39"/>
        <v>44454.349333333332</v>
      </c>
      <c r="AN62" s="44">
        <f t="shared" si="54"/>
        <v>85</v>
      </c>
      <c r="AO62" s="45">
        <f t="shared" si="5"/>
        <v>54085.513140703493</v>
      </c>
      <c r="AP62"/>
      <c r="AQ62" s="46">
        <f t="shared" si="47"/>
        <v>25</v>
      </c>
      <c r="AR62" s="47">
        <f t="shared" si="40"/>
        <v>31360.298666666666</v>
      </c>
      <c r="AS62" s="46">
        <f t="shared" si="55"/>
        <v>85</v>
      </c>
      <c r="AT62" s="47">
        <f t="shared" si="6"/>
        <v>38154.598392930842</v>
      </c>
      <c r="AV62" s="41">
        <f t="shared" si="7"/>
        <v>0</v>
      </c>
      <c r="AW62" s="41">
        <f t="shared" si="8"/>
        <v>0</v>
      </c>
      <c r="AX62" s="43">
        <f t="shared" si="9"/>
        <v>0</v>
      </c>
      <c r="AY62" s="43">
        <f t="shared" si="10"/>
        <v>0</v>
      </c>
      <c r="AZ62" s="11"/>
      <c r="BA62" s="36">
        <f t="shared" si="48"/>
        <v>25</v>
      </c>
      <c r="BB62" s="35">
        <f t="shared" si="57"/>
        <v>44454.349333333332</v>
      </c>
      <c r="BC62" s="120"/>
      <c r="BD62" s="305">
        <f t="shared" si="49"/>
        <v>25</v>
      </c>
      <c r="BE62" s="303">
        <f t="shared" si="58"/>
        <v>31360.298666666666</v>
      </c>
      <c r="BF62" s="208"/>
      <c r="BG62" s="37">
        <f t="shared" si="50"/>
        <v>25</v>
      </c>
      <c r="BH62" s="8">
        <f t="shared" si="12"/>
        <v>354.68159999999995</v>
      </c>
      <c r="BI62" s="8"/>
      <c r="BJ62" s="37">
        <f t="shared" si="51"/>
        <v>25</v>
      </c>
      <c r="BK62" s="8">
        <f t="shared" si="13"/>
        <v>0</v>
      </c>
      <c r="BL62" s="8"/>
      <c r="BM62" s="4">
        <v>24</v>
      </c>
      <c r="BN62" s="14">
        <f t="shared" si="14"/>
        <v>25643.333333333332</v>
      </c>
      <c r="BO62" s="14">
        <f t="shared" si="15"/>
        <v>6462.12</v>
      </c>
      <c r="BP62" s="14">
        <f t="shared" si="42"/>
        <v>1033.9392</v>
      </c>
      <c r="BQ62" s="14">
        <f t="shared" si="16"/>
        <v>2307.9</v>
      </c>
      <c r="BR62" s="38">
        <f t="shared" si="17"/>
        <v>35447.292533333333</v>
      </c>
      <c r="BT62" s="4">
        <v>24</v>
      </c>
      <c r="BU62" s="14">
        <f>SUM(BN$39:BN62)</f>
        <v>587720</v>
      </c>
      <c r="BV62" s="14">
        <f>SUM(BO$39:BO62)</f>
        <v>148105.43999999994</v>
      </c>
      <c r="BW62" s="14">
        <f>SUM(BP$39:BP62)</f>
        <v>23696.870400000007</v>
      </c>
      <c r="BX62" s="14">
        <f>SUM(BQ$39:BQ62)</f>
        <v>52894.800000000017</v>
      </c>
      <c r="BY62" s="21">
        <f>SUM(BR$39:BR62)</f>
        <v>812417.11039999966</v>
      </c>
    </row>
    <row r="63" spans="1:77" ht="18" customHeight="1" x14ac:dyDescent="0.25">
      <c r="A63" s="268"/>
      <c r="B63" s="267">
        <f t="shared" si="52"/>
        <v>25</v>
      </c>
      <c r="C63" s="264">
        <f t="shared" si="43"/>
        <v>26</v>
      </c>
      <c r="D63" s="265">
        <f t="shared" si="19"/>
        <v>46232.523306666662</v>
      </c>
      <c r="E63" s="266">
        <f t="shared" si="20"/>
        <v>35332.266666666663</v>
      </c>
      <c r="F63" s="266">
        <f t="shared" si="59"/>
        <v>6359.808</v>
      </c>
      <c r="G63" s="266">
        <f t="shared" si="22"/>
        <v>1017.56928</v>
      </c>
      <c r="H63" s="266">
        <f t="shared" si="23"/>
        <v>2271.36</v>
      </c>
      <c r="I63" s="266">
        <f t="shared" si="24"/>
        <v>1251.5193600000002</v>
      </c>
      <c r="J63" s="435">
        <f>'Resumen Flex'!K38</f>
        <v>0</v>
      </c>
      <c r="K63" s="317">
        <f t="shared" si="25"/>
        <v>0</v>
      </c>
      <c r="L63" s="317">
        <f>IF(J63=0,0,($AJ63*$G$15*(100%-$BE$28)*$AX63))</f>
        <v>0</v>
      </c>
      <c r="M63" s="317">
        <f t="shared" si="27"/>
        <v>0</v>
      </c>
      <c r="N63" s="347">
        <f t="shared" si="28"/>
        <v>0</v>
      </c>
      <c r="O63" s="267">
        <f t="shared" si="53"/>
        <v>85</v>
      </c>
      <c r="P63" s="264">
        <f t="shared" si="29"/>
        <v>86</v>
      </c>
      <c r="Q63" s="265">
        <f t="shared" si="30"/>
        <v>56248.933666331635</v>
      </c>
      <c r="R63" s="266">
        <f t="shared" si="31"/>
        <v>42987.104788370765</v>
      </c>
      <c r="S63" s="266">
        <f t="shared" si="32"/>
        <v>7737.6788619067383</v>
      </c>
      <c r="T63" s="266">
        <f t="shared" si="33"/>
        <v>1238.0286179050781</v>
      </c>
      <c r="U63" s="266">
        <f t="shared" si="34"/>
        <v>2763.4567363952638</v>
      </c>
      <c r="V63" s="266">
        <f t="shared" si="35"/>
        <v>1522.6646617537904</v>
      </c>
      <c r="W63" s="435">
        <f>'Resumen Flex'!K43</f>
        <v>0</v>
      </c>
      <c r="X63" s="317">
        <f t="shared" si="2"/>
        <v>0</v>
      </c>
      <c r="Y63" s="317">
        <f t="shared" si="3"/>
        <v>0</v>
      </c>
      <c r="Z63" s="317">
        <f t="shared" si="4"/>
        <v>0</v>
      </c>
      <c r="AA63" s="347">
        <f t="shared" si="36"/>
        <v>0</v>
      </c>
      <c r="AB63" s="309"/>
      <c r="AC63" s="136"/>
      <c r="AD63" s="136"/>
      <c r="AE63" s="136"/>
      <c r="AF63" s="136"/>
      <c r="AG63" s="13">
        <f t="shared" si="37"/>
        <v>25</v>
      </c>
      <c r="AH63" s="14">
        <f>((AH62)+(AH62*$D$29))</f>
        <v>5072764.2</v>
      </c>
      <c r="AI63" s="44">
        <f t="shared" si="44"/>
        <v>26</v>
      </c>
      <c r="AJ63" s="55">
        <f>((AJ62)+(AJ62*$E$29))</f>
        <v>4542720</v>
      </c>
      <c r="AK63" s="59">
        <v>1</v>
      </c>
      <c r="AL63" s="44">
        <f t="shared" si="46"/>
        <v>26</v>
      </c>
      <c r="AM63" s="45">
        <f t="shared" si="39"/>
        <v>46232.523306666662</v>
      </c>
      <c r="AN63" s="44">
        <f t="shared" si="54"/>
        <v>86</v>
      </c>
      <c r="AO63" s="45">
        <f t="shared" si="5"/>
        <v>56248.933666331635</v>
      </c>
      <c r="AP63" s="42"/>
      <c r="AQ63" s="46">
        <f t="shared" si="47"/>
        <v>26</v>
      </c>
      <c r="AR63" s="47">
        <f t="shared" si="40"/>
        <v>32614.710613333329</v>
      </c>
      <c r="AS63" s="46">
        <f t="shared" si="55"/>
        <v>86</v>
      </c>
      <c r="AT63" s="47">
        <f t="shared" si="6"/>
        <v>39680.782328648078</v>
      </c>
      <c r="AV63" s="41">
        <f t="shared" si="7"/>
        <v>0</v>
      </c>
      <c r="AW63" s="41">
        <f t="shared" si="8"/>
        <v>0</v>
      </c>
      <c r="AX63" s="43">
        <f t="shared" si="9"/>
        <v>0</v>
      </c>
      <c r="AY63" s="43">
        <f t="shared" si="10"/>
        <v>0</v>
      </c>
      <c r="AZ63" s="11"/>
      <c r="BA63" s="36">
        <f t="shared" si="48"/>
        <v>26</v>
      </c>
      <c r="BB63" s="35">
        <f t="shared" si="57"/>
        <v>46232.523306666662</v>
      </c>
      <c r="BC63" s="120"/>
      <c r="BD63" s="306">
        <f t="shared" si="49"/>
        <v>26</v>
      </c>
      <c r="BE63" s="303">
        <f t="shared" ref="BE63:BE74" si="62">AJ63/$B$10+AJ63*($G$15*(100%-$BE$28)*1.16)</f>
        <v>32614.710613333329</v>
      </c>
      <c r="BF63" s="208"/>
      <c r="BG63" s="37">
        <f t="shared" si="50"/>
        <v>26</v>
      </c>
      <c r="BH63" s="8">
        <f t="shared" si="12"/>
        <v>368.86886399999997</v>
      </c>
      <c r="BI63" s="8"/>
      <c r="BJ63" s="37">
        <f t="shared" si="51"/>
        <v>26</v>
      </c>
      <c r="BK63" s="8">
        <f t="shared" si="13"/>
        <v>0</v>
      </c>
      <c r="BL63" s="8"/>
      <c r="BM63" s="4">
        <v>25</v>
      </c>
      <c r="BN63" s="14">
        <f t="shared" si="14"/>
        <v>28182.023333333334</v>
      </c>
      <c r="BO63" s="14">
        <f t="shared" si="15"/>
        <v>7101.8698800000002</v>
      </c>
      <c r="BP63" s="14">
        <f t="shared" si="42"/>
        <v>1136.2991808000002</v>
      </c>
      <c r="BQ63" s="14">
        <f t="shared" si="16"/>
        <v>2536.3821000000003</v>
      </c>
      <c r="BR63" s="38">
        <f t="shared" si="17"/>
        <v>38956.57449413334</v>
      </c>
      <c r="BT63" s="4">
        <v>25</v>
      </c>
      <c r="BU63" s="14">
        <f>SUM(BN$39:BN63)</f>
        <v>615902.02333333332</v>
      </c>
      <c r="BV63" s="14">
        <f>SUM(BO$39:BO63)</f>
        <v>155207.30987999996</v>
      </c>
      <c r="BW63" s="14">
        <f>SUM(BP$39:BP63)</f>
        <v>24833.169580800008</v>
      </c>
      <c r="BX63" s="14">
        <f>SUM(BQ$39:BQ63)</f>
        <v>55431.18210000002</v>
      </c>
      <c r="BY63" s="21">
        <f>SUM(BR$39:BR63)</f>
        <v>851373.68489413301</v>
      </c>
    </row>
    <row r="64" spans="1:77" ht="18" customHeight="1" x14ac:dyDescent="0.25">
      <c r="A64" s="268"/>
      <c r="B64" s="267">
        <f t="shared" si="52"/>
        <v>26</v>
      </c>
      <c r="C64" s="264">
        <f t="shared" si="43"/>
        <v>27</v>
      </c>
      <c r="D64" s="265">
        <f t="shared" si="19"/>
        <v>46232.523306666662</v>
      </c>
      <c r="E64" s="266">
        <f t="shared" si="20"/>
        <v>35332.266666666663</v>
      </c>
      <c r="F64" s="266">
        <f t="shared" si="59"/>
        <v>6359.808</v>
      </c>
      <c r="G64" s="266">
        <f t="shared" si="22"/>
        <v>1017.56928</v>
      </c>
      <c r="H64" s="266">
        <f t="shared" si="23"/>
        <v>2271.36</v>
      </c>
      <c r="I64" s="266">
        <f t="shared" si="24"/>
        <v>1251.5193600000002</v>
      </c>
      <c r="J64" s="435"/>
      <c r="K64" s="317">
        <f t="shared" si="25"/>
        <v>0</v>
      </c>
      <c r="L64" s="317">
        <f t="shared" ref="L64:L74" si="63">IF(J64=0,0,($AJ64*$G$15*(100%-$BE$28)*$AX64))</f>
        <v>0</v>
      </c>
      <c r="M64" s="317">
        <f t="shared" si="27"/>
        <v>0</v>
      </c>
      <c r="N64" s="347">
        <f t="shared" si="28"/>
        <v>0</v>
      </c>
      <c r="O64" s="267">
        <f t="shared" si="53"/>
        <v>86</v>
      </c>
      <c r="P64" s="264">
        <f t="shared" si="29"/>
        <v>87</v>
      </c>
      <c r="Q64" s="265">
        <f t="shared" si="30"/>
        <v>56248.933666331635</v>
      </c>
      <c r="R64" s="266">
        <f t="shared" si="31"/>
        <v>42987.104788370765</v>
      </c>
      <c r="S64" s="266">
        <f t="shared" si="32"/>
        <v>7737.6788619067383</v>
      </c>
      <c r="T64" s="266">
        <f t="shared" si="33"/>
        <v>1238.0286179050781</v>
      </c>
      <c r="U64" s="266">
        <f t="shared" si="34"/>
        <v>2763.4567363952638</v>
      </c>
      <c r="V64" s="266">
        <f t="shared" si="35"/>
        <v>1522.6646617537904</v>
      </c>
      <c r="W64" s="435"/>
      <c r="X64" s="317">
        <f t="shared" si="2"/>
        <v>0</v>
      </c>
      <c r="Y64" s="317">
        <f t="shared" si="3"/>
        <v>0</v>
      </c>
      <c r="Z64" s="317">
        <f t="shared" si="4"/>
        <v>0</v>
      </c>
      <c r="AA64" s="347">
        <f t="shared" si="36"/>
        <v>0</v>
      </c>
      <c r="AB64" s="309"/>
      <c r="AC64" s="136"/>
      <c r="AD64" s="136"/>
      <c r="AE64" s="136"/>
      <c r="AF64" s="136"/>
      <c r="AG64" s="13">
        <f t="shared" si="37"/>
        <v>26</v>
      </c>
      <c r="AH64" s="14">
        <f t="shared" ref="AH64:AH74" si="64">AH63</f>
        <v>5072764.2</v>
      </c>
      <c r="AI64" s="44">
        <f t="shared" si="44"/>
        <v>27</v>
      </c>
      <c r="AJ64" s="55">
        <f>AJ63</f>
        <v>4542720</v>
      </c>
      <c r="AK64" s="59">
        <v>2</v>
      </c>
      <c r="AL64" s="44">
        <f t="shared" si="46"/>
        <v>27</v>
      </c>
      <c r="AM64" s="45">
        <f t="shared" si="39"/>
        <v>46232.523306666662</v>
      </c>
      <c r="AN64" s="44">
        <f t="shared" si="54"/>
        <v>87</v>
      </c>
      <c r="AO64" s="45">
        <f t="shared" si="5"/>
        <v>56248.933666331635</v>
      </c>
      <c r="AP64" s="42"/>
      <c r="AQ64" s="46">
        <f t="shared" si="47"/>
        <v>27</v>
      </c>
      <c r="AR64" s="47">
        <f t="shared" si="40"/>
        <v>32614.710613333329</v>
      </c>
      <c r="AS64" s="46">
        <f t="shared" si="55"/>
        <v>87</v>
      </c>
      <c r="AT64" s="47">
        <f t="shared" si="6"/>
        <v>39680.782328648078</v>
      </c>
      <c r="AV64" s="41">
        <f t="shared" si="7"/>
        <v>0</v>
      </c>
      <c r="AW64" s="41">
        <f t="shared" si="8"/>
        <v>0</v>
      </c>
      <c r="AX64" s="43">
        <f t="shared" si="9"/>
        <v>0</v>
      </c>
      <c r="AY64" s="43">
        <f t="shared" si="10"/>
        <v>0</v>
      </c>
      <c r="AZ64" s="11"/>
      <c r="BA64" s="36">
        <f t="shared" si="48"/>
        <v>27</v>
      </c>
      <c r="BB64" s="35">
        <f t="shared" si="57"/>
        <v>46232.523306666662</v>
      </c>
      <c r="BC64" s="120"/>
      <c r="BD64" s="306">
        <f t="shared" si="49"/>
        <v>27</v>
      </c>
      <c r="BE64" s="303">
        <f t="shared" si="62"/>
        <v>32614.710613333329</v>
      </c>
      <c r="BF64" s="208"/>
      <c r="BG64" s="37">
        <f t="shared" si="50"/>
        <v>27</v>
      </c>
      <c r="BH64" s="8">
        <f t="shared" si="12"/>
        <v>368.86886399999997</v>
      </c>
      <c r="BI64" s="8"/>
      <c r="BJ64" s="37">
        <f t="shared" si="51"/>
        <v>27</v>
      </c>
      <c r="BK64" s="8">
        <f t="shared" si="13"/>
        <v>0</v>
      </c>
      <c r="BL64" s="8"/>
      <c r="BM64" s="4">
        <v>26</v>
      </c>
      <c r="BN64" s="14">
        <f t="shared" si="14"/>
        <v>28182.023333333334</v>
      </c>
      <c r="BO64" s="14">
        <f t="shared" si="15"/>
        <v>7101.8698800000002</v>
      </c>
      <c r="BP64" s="14">
        <f t="shared" si="42"/>
        <v>1136.2991808000002</v>
      </c>
      <c r="BQ64" s="14">
        <f t="shared" si="16"/>
        <v>2536.3821000000003</v>
      </c>
      <c r="BR64" s="38">
        <f t="shared" si="17"/>
        <v>38956.57449413334</v>
      </c>
      <c r="BT64" s="4">
        <v>26</v>
      </c>
      <c r="BU64" s="14">
        <f>SUM(BN$39:BN64)</f>
        <v>644084.04666666663</v>
      </c>
      <c r="BV64" s="14">
        <f>SUM(BO$39:BO64)</f>
        <v>162309.17975999997</v>
      </c>
      <c r="BW64" s="14">
        <f>SUM(BP$39:BP64)</f>
        <v>25969.468761600008</v>
      </c>
      <c r="BX64" s="14">
        <f>SUM(BQ$39:BQ64)</f>
        <v>57967.564200000023</v>
      </c>
      <c r="BY64" s="21">
        <f>SUM(BR$39:BR64)</f>
        <v>890330.25938826636</v>
      </c>
    </row>
    <row r="65" spans="1:77" ht="18" customHeight="1" x14ac:dyDescent="0.25">
      <c r="A65" s="268"/>
      <c r="B65" s="267">
        <f t="shared" si="52"/>
        <v>27</v>
      </c>
      <c r="C65" s="264">
        <f t="shared" si="43"/>
        <v>28</v>
      </c>
      <c r="D65" s="265">
        <f t="shared" si="19"/>
        <v>46232.523306666662</v>
      </c>
      <c r="E65" s="266">
        <f t="shared" si="20"/>
        <v>35332.266666666663</v>
      </c>
      <c r="F65" s="266">
        <f t="shared" si="59"/>
        <v>6359.808</v>
      </c>
      <c r="G65" s="266">
        <f t="shared" si="22"/>
        <v>1017.56928</v>
      </c>
      <c r="H65" s="266">
        <f t="shared" si="23"/>
        <v>2271.36</v>
      </c>
      <c r="I65" s="266">
        <f t="shared" si="24"/>
        <v>1251.5193600000002</v>
      </c>
      <c r="J65" s="435"/>
      <c r="K65" s="317">
        <f t="shared" si="25"/>
        <v>0</v>
      </c>
      <c r="L65" s="317">
        <f t="shared" si="63"/>
        <v>0</v>
      </c>
      <c r="M65" s="317">
        <f t="shared" si="27"/>
        <v>0</v>
      </c>
      <c r="N65" s="347">
        <f t="shared" si="28"/>
        <v>0</v>
      </c>
      <c r="O65" s="267">
        <f t="shared" si="53"/>
        <v>87</v>
      </c>
      <c r="P65" s="264">
        <f t="shared" si="29"/>
        <v>88</v>
      </c>
      <c r="Q65" s="265">
        <f t="shared" si="30"/>
        <v>56248.933666331635</v>
      </c>
      <c r="R65" s="266">
        <f t="shared" si="31"/>
        <v>42987.104788370765</v>
      </c>
      <c r="S65" s="266">
        <f t="shared" si="32"/>
        <v>7737.6788619067383</v>
      </c>
      <c r="T65" s="266">
        <f t="shared" si="33"/>
        <v>1238.0286179050781</v>
      </c>
      <c r="U65" s="266">
        <f t="shared" si="34"/>
        <v>2763.4567363952638</v>
      </c>
      <c r="V65" s="266">
        <f t="shared" si="35"/>
        <v>1522.6646617537904</v>
      </c>
      <c r="W65" s="435"/>
      <c r="X65" s="317">
        <f t="shared" si="2"/>
        <v>0</v>
      </c>
      <c r="Y65" s="317">
        <f t="shared" si="3"/>
        <v>0</v>
      </c>
      <c r="Z65" s="317">
        <f t="shared" si="4"/>
        <v>0</v>
      </c>
      <c r="AA65" s="347">
        <f t="shared" si="36"/>
        <v>0</v>
      </c>
      <c r="AB65" s="309"/>
      <c r="AC65" s="136"/>
      <c r="AD65" s="136"/>
      <c r="AE65" s="136"/>
      <c r="AF65" s="136"/>
      <c r="AG65" s="13">
        <f t="shared" si="37"/>
        <v>27</v>
      </c>
      <c r="AH65" s="14">
        <f t="shared" si="64"/>
        <v>5072764.2</v>
      </c>
      <c r="AI65" s="44">
        <f t="shared" si="44"/>
        <v>28</v>
      </c>
      <c r="AJ65" s="55">
        <f>AJ64</f>
        <v>4542720</v>
      </c>
      <c r="AK65" s="59">
        <v>3</v>
      </c>
      <c r="AL65" s="44">
        <f t="shared" si="46"/>
        <v>28</v>
      </c>
      <c r="AM65" s="45">
        <f t="shared" si="39"/>
        <v>46232.523306666662</v>
      </c>
      <c r="AN65" s="44">
        <f t="shared" si="54"/>
        <v>88</v>
      </c>
      <c r="AO65" s="45">
        <f t="shared" si="5"/>
        <v>56248.933666331635</v>
      </c>
      <c r="AP65"/>
      <c r="AQ65" s="46">
        <f t="shared" si="47"/>
        <v>28</v>
      </c>
      <c r="AR65" s="47">
        <f t="shared" si="40"/>
        <v>32614.710613333329</v>
      </c>
      <c r="AS65" s="46">
        <f t="shared" si="55"/>
        <v>88</v>
      </c>
      <c r="AT65" s="47">
        <f t="shared" si="6"/>
        <v>39680.782328648078</v>
      </c>
      <c r="AV65" s="41">
        <f t="shared" si="7"/>
        <v>0</v>
      </c>
      <c r="AW65" s="41">
        <f t="shared" si="8"/>
        <v>0</v>
      </c>
      <c r="AX65" s="43">
        <f t="shared" si="9"/>
        <v>0</v>
      </c>
      <c r="AY65" s="43">
        <f t="shared" si="10"/>
        <v>0</v>
      </c>
      <c r="AZ65" s="11"/>
      <c r="BA65" s="36">
        <f t="shared" si="48"/>
        <v>28</v>
      </c>
      <c r="BB65" s="35">
        <f t="shared" si="57"/>
        <v>46232.523306666662</v>
      </c>
      <c r="BC65" s="120"/>
      <c r="BD65" s="306">
        <f t="shared" si="49"/>
        <v>28</v>
      </c>
      <c r="BE65" s="303">
        <f t="shared" si="62"/>
        <v>32614.710613333329</v>
      </c>
      <c r="BF65" s="208"/>
      <c r="BG65" s="37">
        <f t="shared" si="50"/>
        <v>28</v>
      </c>
      <c r="BH65" s="8">
        <f t="shared" si="12"/>
        <v>368.86886399999997</v>
      </c>
      <c r="BI65" s="8"/>
      <c r="BJ65" s="37">
        <f t="shared" si="51"/>
        <v>28</v>
      </c>
      <c r="BK65" s="8">
        <f t="shared" si="13"/>
        <v>0</v>
      </c>
      <c r="BL65" s="8"/>
      <c r="BM65" s="4">
        <v>27</v>
      </c>
      <c r="BN65" s="14">
        <f t="shared" si="14"/>
        <v>28182.023333333334</v>
      </c>
      <c r="BO65" s="14">
        <f t="shared" si="15"/>
        <v>7101.8698800000002</v>
      </c>
      <c r="BP65" s="14">
        <f t="shared" si="42"/>
        <v>1136.2991808000002</v>
      </c>
      <c r="BQ65" s="14">
        <f t="shared" si="16"/>
        <v>2536.3821000000003</v>
      </c>
      <c r="BR65" s="38">
        <f t="shared" si="17"/>
        <v>38956.57449413334</v>
      </c>
      <c r="BT65" s="4">
        <v>27</v>
      </c>
      <c r="BU65" s="14">
        <f>SUM(BN$39:BN65)</f>
        <v>672266.07</v>
      </c>
      <c r="BV65" s="14">
        <f>SUM(BO$39:BO65)</f>
        <v>169411.04963999998</v>
      </c>
      <c r="BW65" s="14">
        <f>SUM(BP$39:BP65)</f>
        <v>27105.767942400009</v>
      </c>
      <c r="BX65" s="14">
        <f>SUM(BQ$39:BQ65)</f>
        <v>60503.946300000025</v>
      </c>
      <c r="BY65" s="21">
        <f>SUM(BR$39:BR65)</f>
        <v>929286.83388239972</v>
      </c>
    </row>
    <row r="66" spans="1:77" ht="18" customHeight="1" x14ac:dyDescent="0.25">
      <c r="A66" s="268"/>
      <c r="B66" s="267">
        <f t="shared" si="52"/>
        <v>28</v>
      </c>
      <c r="C66" s="264">
        <f t="shared" si="43"/>
        <v>29</v>
      </c>
      <c r="D66" s="265">
        <f t="shared" si="19"/>
        <v>46232.523306666662</v>
      </c>
      <c r="E66" s="266">
        <f t="shared" si="20"/>
        <v>35332.266666666663</v>
      </c>
      <c r="F66" s="266">
        <f t="shared" si="59"/>
        <v>6359.808</v>
      </c>
      <c r="G66" s="266">
        <f t="shared" si="22"/>
        <v>1017.56928</v>
      </c>
      <c r="H66" s="266">
        <f t="shared" si="23"/>
        <v>2271.36</v>
      </c>
      <c r="I66" s="266">
        <f t="shared" si="24"/>
        <v>1251.5193600000002</v>
      </c>
      <c r="J66" s="435"/>
      <c r="K66" s="317">
        <f t="shared" si="25"/>
        <v>0</v>
      </c>
      <c r="L66" s="317">
        <f t="shared" si="63"/>
        <v>0</v>
      </c>
      <c r="M66" s="317">
        <f t="shared" si="27"/>
        <v>0</v>
      </c>
      <c r="N66" s="347">
        <f t="shared" si="28"/>
        <v>0</v>
      </c>
      <c r="O66" s="267">
        <f t="shared" si="53"/>
        <v>88</v>
      </c>
      <c r="P66" s="264">
        <f t="shared" si="29"/>
        <v>89</v>
      </c>
      <c r="Q66" s="265">
        <f t="shared" si="30"/>
        <v>56248.933666331635</v>
      </c>
      <c r="R66" s="266">
        <f t="shared" si="31"/>
        <v>42987.104788370765</v>
      </c>
      <c r="S66" s="266">
        <f t="shared" si="32"/>
        <v>7737.6788619067383</v>
      </c>
      <c r="T66" s="266">
        <f t="shared" si="33"/>
        <v>1238.0286179050781</v>
      </c>
      <c r="U66" s="266">
        <f t="shared" si="34"/>
        <v>2763.4567363952638</v>
      </c>
      <c r="V66" s="266">
        <f t="shared" si="35"/>
        <v>1522.6646617537904</v>
      </c>
      <c r="W66" s="435"/>
      <c r="X66" s="317">
        <f t="shared" si="2"/>
        <v>0</v>
      </c>
      <c r="Y66" s="317">
        <f t="shared" si="3"/>
        <v>0</v>
      </c>
      <c r="Z66" s="317">
        <f t="shared" si="4"/>
        <v>0</v>
      </c>
      <c r="AA66" s="347">
        <f t="shared" si="36"/>
        <v>0</v>
      </c>
      <c r="AB66" s="309"/>
      <c r="AC66" s="132"/>
      <c r="AD66" s="136"/>
      <c r="AE66" s="136"/>
      <c r="AF66" s="132"/>
      <c r="AG66" s="13">
        <f t="shared" si="37"/>
        <v>28</v>
      </c>
      <c r="AH66" s="14">
        <f t="shared" si="64"/>
        <v>5072764.2</v>
      </c>
      <c r="AI66" s="44">
        <f t="shared" si="44"/>
        <v>29</v>
      </c>
      <c r="AJ66" s="55">
        <f t="shared" ref="AJ66:AJ74" si="65">AJ65</f>
        <v>4542720</v>
      </c>
      <c r="AK66" s="59">
        <v>4</v>
      </c>
      <c r="AL66" s="44">
        <f t="shared" si="46"/>
        <v>29</v>
      </c>
      <c r="AM66" s="45">
        <f t="shared" si="39"/>
        <v>46232.523306666662</v>
      </c>
      <c r="AN66" s="44">
        <f t="shared" si="54"/>
        <v>89</v>
      </c>
      <c r="AO66" s="45">
        <f t="shared" si="5"/>
        <v>56248.933666331635</v>
      </c>
      <c r="AP66"/>
      <c r="AQ66" s="46">
        <f t="shared" si="47"/>
        <v>29</v>
      </c>
      <c r="AR66" s="47">
        <f t="shared" si="40"/>
        <v>32614.710613333329</v>
      </c>
      <c r="AS66" s="46">
        <f t="shared" si="55"/>
        <v>89</v>
      </c>
      <c r="AT66" s="47">
        <f t="shared" si="6"/>
        <v>39680.782328648078</v>
      </c>
      <c r="AV66" s="41">
        <f t="shared" si="7"/>
        <v>0</v>
      </c>
      <c r="AW66" s="41">
        <f t="shared" si="8"/>
        <v>0</v>
      </c>
      <c r="AX66" s="43">
        <f t="shared" si="9"/>
        <v>0</v>
      </c>
      <c r="AY66" s="43">
        <f t="shared" si="10"/>
        <v>0</v>
      </c>
      <c r="AZ66" s="11"/>
      <c r="BA66" s="36">
        <f t="shared" si="48"/>
        <v>29</v>
      </c>
      <c r="BB66" s="35">
        <f t="shared" si="57"/>
        <v>46232.523306666662</v>
      </c>
      <c r="BC66" s="120"/>
      <c r="BD66" s="306">
        <f t="shared" si="49"/>
        <v>29</v>
      </c>
      <c r="BE66" s="303">
        <f t="shared" si="62"/>
        <v>32614.710613333329</v>
      </c>
      <c r="BF66" s="208"/>
      <c r="BG66" s="37">
        <f t="shared" si="50"/>
        <v>29</v>
      </c>
      <c r="BH66" s="8">
        <f t="shared" si="12"/>
        <v>368.86886399999997</v>
      </c>
      <c r="BI66" s="8"/>
      <c r="BJ66" s="37">
        <f t="shared" si="51"/>
        <v>29</v>
      </c>
      <c r="BK66" s="8">
        <f t="shared" si="13"/>
        <v>0</v>
      </c>
      <c r="BL66" s="8"/>
      <c r="BM66" s="4">
        <v>28</v>
      </c>
      <c r="BN66" s="14">
        <f t="shared" si="14"/>
        <v>28182.023333333334</v>
      </c>
      <c r="BO66" s="14">
        <f t="shared" si="15"/>
        <v>7101.8698800000002</v>
      </c>
      <c r="BP66" s="14">
        <f t="shared" si="42"/>
        <v>1136.2991808000002</v>
      </c>
      <c r="BQ66" s="14">
        <f t="shared" si="16"/>
        <v>2536.3821000000003</v>
      </c>
      <c r="BR66" s="38">
        <f t="shared" si="17"/>
        <v>38956.57449413334</v>
      </c>
      <c r="BT66" s="4">
        <v>28</v>
      </c>
      <c r="BU66" s="14">
        <f>SUM(BN$39:BN66)</f>
        <v>700448.09333333327</v>
      </c>
      <c r="BV66" s="14">
        <f>SUM(BO$39:BO66)</f>
        <v>176512.91952</v>
      </c>
      <c r="BW66" s="14">
        <f>SUM(BP$39:BP66)</f>
        <v>28242.06712320001</v>
      </c>
      <c r="BX66" s="14">
        <f>SUM(BQ$39:BQ66)</f>
        <v>63040.328400000028</v>
      </c>
      <c r="BY66" s="21">
        <f>SUM(BR$39:BR66)</f>
        <v>968243.40837653307</v>
      </c>
    </row>
    <row r="67" spans="1:77" ht="18" customHeight="1" x14ac:dyDescent="0.25">
      <c r="A67" s="268"/>
      <c r="B67" s="267">
        <f t="shared" si="52"/>
        <v>29</v>
      </c>
      <c r="C67" s="264">
        <f t="shared" si="43"/>
        <v>30</v>
      </c>
      <c r="D67" s="265">
        <f t="shared" si="19"/>
        <v>46232.523306666662</v>
      </c>
      <c r="E67" s="266">
        <f t="shared" si="20"/>
        <v>35332.266666666663</v>
      </c>
      <c r="F67" s="266">
        <f t="shared" si="59"/>
        <v>6359.808</v>
      </c>
      <c r="G67" s="266">
        <f t="shared" si="22"/>
        <v>1017.56928</v>
      </c>
      <c r="H67" s="266">
        <f t="shared" si="23"/>
        <v>2271.36</v>
      </c>
      <c r="I67" s="266">
        <f t="shared" si="24"/>
        <v>1251.5193600000002</v>
      </c>
      <c r="J67" s="435"/>
      <c r="K67" s="317">
        <f t="shared" si="25"/>
        <v>0</v>
      </c>
      <c r="L67" s="317">
        <f t="shared" si="63"/>
        <v>0</v>
      </c>
      <c r="M67" s="317">
        <f t="shared" si="27"/>
        <v>0</v>
      </c>
      <c r="N67" s="347">
        <f t="shared" si="28"/>
        <v>0</v>
      </c>
      <c r="O67" s="267">
        <f t="shared" si="53"/>
        <v>89</v>
      </c>
      <c r="P67" s="264">
        <f t="shared" si="29"/>
        <v>90</v>
      </c>
      <c r="Q67" s="265">
        <f t="shared" si="30"/>
        <v>56248.933666331635</v>
      </c>
      <c r="R67" s="266">
        <f t="shared" si="31"/>
        <v>42987.104788370765</v>
      </c>
      <c r="S67" s="266">
        <f t="shared" si="32"/>
        <v>7737.6788619067383</v>
      </c>
      <c r="T67" s="266">
        <f t="shared" si="33"/>
        <v>1238.0286179050781</v>
      </c>
      <c r="U67" s="266">
        <f t="shared" si="34"/>
        <v>2763.4567363952638</v>
      </c>
      <c r="V67" s="266">
        <f t="shared" si="35"/>
        <v>1522.6646617537904</v>
      </c>
      <c r="W67" s="435"/>
      <c r="X67" s="317">
        <f t="shared" si="2"/>
        <v>0</v>
      </c>
      <c r="Y67" s="317">
        <f t="shared" si="3"/>
        <v>0</v>
      </c>
      <c r="Z67" s="317">
        <f t="shared" si="4"/>
        <v>0</v>
      </c>
      <c r="AA67" s="347">
        <f t="shared" si="36"/>
        <v>0</v>
      </c>
      <c r="AB67" s="309"/>
      <c r="AC67" s="132"/>
      <c r="AD67" s="136"/>
      <c r="AE67" s="136"/>
      <c r="AF67" s="132"/>
      <c r="AG67" s="13">
        <f t="shared" si="37"/>
        <v>29</v>
      </c>
      <c r="AH67" s="14">
        <f t="shared" si="64"/>
        <v>5072764.2</v>
      </c>
      <c r="AI67" s="44">
        <f t="shared" si="44"/>
        <v>30</v>
      </c>
      <c r="AJ67" s="55">
        <f t="shared" si="65"/>
        <v>4542720</v>
      </c>
      <c r="AK67" s="59">
        <v>5</v>
      </c>
      <c r="AL67" s="44">
        <f t="shared" si="46"/>
        <v>30</v>
      </c>
      <c r="AM67" s="45">
        <f t="shared" si="39"/>
        <v>46232.523306666662</v>
      </c>
      <c r="AN67" s="44">
        <f t="shared" si="54"/>
        <v>90</v>
      </c>
      <c r="AO67" s="45">
        <f t="shared" si="5"/>
        <v>56248.933666331635</v>
      </c>
      <c r="AP67"/>
      <c r="AQ67" s="46">
        <f t="shared" si="47"/>
        <v>30</v>
      </c>
      <c r="AR67" s="47">
        <f t="shared" si="40"/>
        <v>32614.710613333329</v>
      </c>
      <c r="AS67" s="46">
        <f t="shared" si="55"/>
        <v>90</v>
      </c>
      <c r="AT67" s="47">
        <f t="shared" si="6"/>
        <v>39680.782328648078</v>
      </c>
      <c r="AV67" s="41">
        <f t="shared" si="7"/>
        <v>0</v>
      </c>
      <c r="AW67" s="41">
        <f t="shared" si="8"/>
        <v>0</v>
      </c>
      <c r="AX67" s="43">
        <f t="shared" si="9"/>
        <v>0</v>
      </c>
      <c r="AY67" s="43">
        <f t="shared" si="10"/>
        <v>0</v>
      </c>
      <c r="AZ67" s="11"/>
      <c r="BA67" s="36">
        <f t="shared" si="48"/>
        <v>30</v>
      </c>
      <c r="BB67" s="35">
        <f t="shared" si="57"/>
        <v>46232.523306666662</v>
      </c>
      <c r="BC67" s="120"/>
      <c r="BD67" s="306">
        <f t="shared" si="49"/>
        <v>30</v>
      </c>
      <c r="BE67" s="303">
        <f t="shared" si="62"/>
        <v>32614.710613333329</v>
      </c>
      <c r="BF67" s="208"/>
      <c r="BG67" s="37">
        <f t="shared" si="50"/>
        <v>30</v>
      </c>
      <c r="BH67" s="8">
        <f t="shared" si="12"/>
        <v>368.86886399999997</v>
      </c>
      <c r="BI67" s="8"/>
      <c r="BJ67" s="37">
        <f t="shared" si="51"/>
        <v>30</v>
      </c>
      <c r="BK67" s="8">
        <f t="shared" si="13"/>
        <v>0</v>
      </c>
      <c r="BL67" s="8"/>
      <c r="BM67" s="4">
        <v>29</v>
      </c>
      <c r="BN67" s="14">
        <f t="shared" si="14"/>
        <v>28182.023333333334</v>
      </c>
      <c r="BO67" s="14">
        <f t="shared" si="15"/>
        <v>7101.8698800000002</v>
      </c>
      <c r="BP67" s="14">
        <f t="shared" si="42"/>
        <v>1136.2991808000002</v>
      </c>
      <c r="BQ67" s="14">
        <f t="shared" si="16"/>
        <v>2536.3821000000003</v>
      </c>
      <c r="BR67" s="38">
        <f t="shared" si="17"/>
        <v>38956.57449413334</v>
      </c>
      <c r="BT67" s="4">
        <v>29</v>
      </c>
      <c r="BU67" s="14">
        <f>SUM(BN$39:BN67)</f>
        <v>728630.11666666658</v>
      </c>
      <c r="BV67" s="14">
        <f>SUM(BO$39:BO67)</f>
        <v>183614.78940000001</v>
      </c>
      <c r="BW67" s="14">
        <f>SUM(BP$39:BP67)</f>
        <v>29378.36630400001</v>
      </c>
      <c r="BX67" s="14">
        <f>SUM(BQ$39:BQ67)</f>
        <v>65576.71050000003</v>
      </c>
      <c r="BY67" s="21">
        <f>SUM(BR$39:BR67)</f>
        <v>1007199.9828706664</v>
      </c>
    </row>
    <row r="68" spans="1:77" ht="18" customHeight="1" x14ac:dyDescent="0.25">
      <c r="A68" s="268"/>
      <c r="B68" s="267">
        <f t="shared" si="52"/>
        <v>30</v>
      </c>
      <c r="C68" s="264">
        <f t="shared" si="43"/>
        <v>31</v>
      </c>
      <c r="D68" s="265">
        <f t="shared" si="19"/>
        <v>46232.523306666662</v>
      </c>
      <c r="E68" s="266">
        <f t="shared" si="20"/>
        <v>35332.266666666663</v>
      </c>
      <c r="F68" s="266">
        <f t="shared" si="59"/>
        <v>6359.808</v>
      </c>
      <c r="G68" s="266">
        <f t="shared" si="22"/>
        <v>1017.56928</v>
      </c>
      <c r="H68" s="266">
        <f t="shared" si="23"/>
        <v>2271.36</v>
      </c>
      <c r="I68" s="266">
        <f t="shared" si="24"/>
        <v>1251.5193600000002</v>
      </c>
      <c r="J68" s="435"/>
      <c r="K68" s="317">
        <f t="shared" si="25"/>
        <v>0</v>
      </c>
      <c r="L68" s="317">
        <f t="shared" si="63"/>
        <v>0</v>
      </c>
      <c r="M68" s="317">
        <f t="shared" si="27"/>
        <v>0</v>
      </c>
      <c r="N68" s="347">
        <f t="shared" si="28"/>
        <v>0</v>
      </c>
      <c r="O68" s="267">
        <f t="shared" si="53"/>
        <v>90</v>
      </c>
      <c r="P68" s="269">
        <f t="shared" si="29"/>
        <v>91</v>
      </c>
      <c r="Q68" s="265">
        <f t="shared" si="30"/>
        <v>56248.933666331635</v>
      </c>
      <c r="R68" s="266">
        <f t="shared" si="31"/>
        <v>42987.104788370765</v>
      </c>
      <c r="S68" s="266">
        <f t="shared" si="32"/>
        <v>7737.6788619067383</v>
      </c>
      <c r="T68" s="266">
        <f t="shared" si="33"/>
        <v>1238.0286179050781</v>
      </c>
      <c r="U68" s="266">
        <f t="shared" si="34"/>
        <v>2763.4567363952638</v>
      </c>
      <c r="V68" s="266">
        <f t="shared" si="35"/>
        <v>1522.6646617537904</v>
      </c>
      <c r="W68" s="435"/>
      <c r="X68" s="317">
        <f t="shared" si="2"/>
        <v>0</v>
      </c>
      <c r="Y68" s="317">
        <f t="shared" si="3"/>
        <v>0</v>
      </c>
      <c r="Z68" s="317">
        <f t="shared" si="4"/>
        <v>0</v>
      </c>
      <c r="AA68" s="347">
        <f t="shared" si="36"/>
        <v>0</v>
      </c>
      <c r="AB68" s="309"/>
      <c r="AC68" s="132"/>
      <c r="AD68" s="136"/>
      <c r="AE68" s="136"/>
      <c r="AF68" s="132"/>
      <c r="AG68" s="13">
        <f t="shared" si="37"/>
        <v>30</v>
      </c>
      <c r="AH68" s="14">
        <f t="shared" si="64"/>
        <v>5072764.2</v>
      </c>
      <c r="AI68" s="44">
        <f t="shared" si="44"/>
        <v>31</v>
      </c>
      <c r="AJ68" s="55">
        <f t="shared" si="65"/>
        <v>4542720</v>
      </c>
      <c r="AK68" s="59">
        <v>6</v>
      </c>
      <c r="AL68" s="44">
        <f t="shared" si="46"/>
        <v>31</v>
      </c>
      <c r="AM68" s="45">
        <f t="shared" si="39"/>
        <v>46232.523306666662</v>
      </c>
      <c r="AN68" s="44">
        <f t="shared" si="54"/>
        <v>91</v>
      </c>
      <c r="AO68" s="45">
        <f t="shared" si="5"/>
        <v>56248.933666331635</v>
      </c>
      <c r="AP68"/>
      <c r="AQ68" s="46">
        <f t="shared" si="47"/>
        <v>31</v>
      </c>
      <c r="AR68" s="47">
        <f t="shared" si="40"/>
        <v>32614.710613333329</v>
      </c>
      <c r="AS68" s="46">
        <f t="shared" si="55"/>
        <v>91</v>
      </c>
      <c r="AT68" s="47">
        <f t="shared" si="6"/>
        <v>39680.782328648078</v>
      </c>
      <c r="AV68" s="41">
        <f t="shared" si="7"/>
        <v>0</v>
      </c>
      <c r="AW68" s="41">
        <f t="shared" si="8"/>
        <v>0</v>
      </c>
      <c r="AX68" s="43">
        <f t="shared" si="9"/>
        <v>0</v>
      </c>
      <c r="AY68" s="43">
        <f t="shared" si="10"/>
        <v>0</v>
      </c>
      <c r="AZ68" s="11"/>
      <c r="BA68" s="36">
        <f t="shared" si="48"/>
        <v>31</v>
      </c>
      <c r="BB68" s="35">
        <f t="shared" si="57"/>
        <v>46232.523306666662</v>
      </c>
      <c r="BC68" s="120"/>
      <c r="BD68" s="306">
        <f t="shared" si="49"/>
        <v>31</v>
      </c>
      <c r="BE68" s="303">
        <f t="shared" si="62"/>
        <v>32614.710613333329</v>
      </c>
      <c r="BF68" s="208"/>
      <c r="BG68" s="37">
        <f t="shared" si="50"/>
        <v>31</v>
      </c>
      <c r="BH68" s="8">
        <f t="shared" si="12"/>
        <v>368.86886399999997</v>
      </c>
      <c r="BI68" s="8"/>
      <c r="BJ68" s="37">
        <f t="shared" si="51"/>
        <v>31</v>
      </c>
      <c r="BK68" s="8">
        <f t="shared" si="13"/>
        <v>0</v>
      </c>
      <c r="BL68" s="8"/>
      <c r="BM68" s="4">
        <v>30</v>
      </c>
      <c r="BN68" s="14">
        <f t="shared" si="14"/>
        <v>28182.023333333334</v>
      </c>
      <c r="BO68" s="14">
        <f t="shared" si="15"/>
        <v>7101.8698800000002</v>
      </c>
      <c r="BP68" s="14">
        <f t="shared" si="42"/>
        <v>1136.2991808000002</v>
      </c>
      <c r="BQ68" s="14">
        <f t="shared" si="16"/>
        <v>2536.3821000000003</v>
      </c>
      <c r="BR68" s="38">
        <f t="shared" si="17"/>
        <v>38956.57449413334</v>
      </c>
      <c r="BT68" s="4">
        <v>30</v>
      </c>
      <c r="BU68" s="14">
        <f>SUM(BN$39:BN68)</f>
        <v>756812.1399999999</v>
      </c>
      <c r="BV68" s="14">
        <f>SUM(BO$39:BO68)</f>
        <v>190716.65928000002</v>
      </c>
      <c r="BW68" s="14">
        <f>SUM(BP$39:BP68)</f>
        <v>30514.665484800011</v>
      </c>
      <c r="BX68" s="14">
        <f>SUM(BQ$39:BQ68)</f>
        <v>68113.092600000033</v>
      </c>
      <c r="BY68" s="21">
        <f>SUM(BR$39:BR68)</f>
        <v>1046156.5573647998</v>
      </c>
    </row>
    <row r="69" spans="1:77" ht="18" customHeight="1" x14ac:dyDescent="0.25">
      <c r="A69" s="268"/>
      <c r="B69" s="267">
        <f t="shared" si="52"/>
        <v>31</v>
      </c>
      <c r="C69" s="264">
        <f t="shared" si="43"/>
        <v>32</v>
      </c>
      <c r="D69" s="265">
        <f t="shared" si="19"/>
        <v>46232.523306666662</v>
      </c>
      <c r="E69" s="266">
        <f t="shared" si="20"/>
        <v>35332.266666666663</v>
      </c>
      <c r="F69" s="266">
        <f t="shared" si="59"/>
        <v>6359.808</v>
      </c>
      <c r="G69" s="266">
        <f t="shared" si="22"/>
        <v>1017.56928</v>
      </c>
      <c r="H69" s="266">
        <f t="shared" si="23"/>
        <v>2271.36</v>
      </c>
      <c r="I69" s="266">
        <f t="shared" si="24"/>
        <v>1251.5193600000002</v>
      </c>
      <c r="J69" s="435"/>
      <c r="K69" s="317">
        <f t="shared" si="25"/>
        <v>0</v>
      </c>
      <c r="L69" s="317">
        <f t="shared" si="63"/>
        <v>0</v>
      </c>
      <c r="M69" s="317">
        <f t="shared" si="27"/>
        <v>0</v>
      </c>
      <c r="N69" s="347">
        <f t="shared" si="28"/>
        <v>0</v>
      </c>
      <c r="O69" s="267">
        <f t="shared" si="53"/>
        <v>91</v>
      </c>
      <c r="P69" s="264">
        <f t="shared" si="29"/>
        <v>92</v>
      </c>
      <c r="Q69" s="265">
        <f t="shared" si="30"/>
        <v>56248.933666331635</v>
      </c>
      <c r="R69" s="266">
        <f t="shared" si="31"/>
        <v>42987.104788370765</v>
      </c>
      <c r="S69" s="266">
        <f t="shared" si="32"/>
        <v>7737.6788619067383</v>
      </c>
      <c r="T69" s="266">
        <f t="shared" si="33"/>
        <v>1238.0286179050781</v>
      </c>
      <c r="U69" s="266">
        <f t="shared" si="34"/>
        <v>2763.4567363952638</v>
      </c>
      <c r="V69" s="266">
        <f t="shared" si="35"/>
        <v>1522.6646617537904</v>
      </c>
      <c r="W69" s="435"/>
      <c r="X69" s="317">
        <f t="shared" si="2"/>
        <v>0</v>
      </c>
      <c r="Y69" s="317">
        <f t="shared" si="3"/>
        <v>0</v>
      </c>
      <c r="Z69" s="317">
        <f t="shared" si="4"/>
        <v>0</v>
      </c>
      <c r="AA69" s="347">
        <f t="shared" si="36"/>
        <v>0</v>
      </c>
      <c r="AB69" s="309"/>
      <c r="AC69" s="132"/>
      <c r="AD69" s="136"/>
      <c r="AE69" s="136"/>
      <c r="AF69" s="132"/>
      <c r="AG69" s="13">
        <f t="shared" si="37"/>
        <v>31</v>
      </c>
      <c r="AH69" s="14">
        <f t="shared" si="64"/>
        <v>5072764.2</v>
      </c>
      <c r="AI69" s="44">
        <f t="shared" si="44"/>
        <v>32</v>
      </c>
      <c r="AJ69" s="55">
        <f t="shared" si="65"/>
        <v>4542720</v>
      </c>
      <c r="AK69" s="59">
        <v>7</v>
      </c>
      <c r="AL69" s="44">
        <f t="shared" si="46"/>
        <v>32</v>
      </c>
      <c r="AM69" s="45">
        <f t="shared" si="39"/>
        <v>46232.523306666662</v>
      </c>
      <c r="AN69" s="44">
        <f t="shared" si="54"/>
        <v>92</v>
      </c>
      <c r="AO69" s="45">
        <f t="shared" si="5"/>
        <v>56248.933666331635</v>
      </c>
      <c r="AP69"/>
      <c r="AQ69" s="46">
        <f t="shared" si="47"/>
        <v>32</v>
      </c>
      <c r="AR69" s="47">
        <f t="shared" si="40"/>
        <v>32614.710613333329</v>
      </c>
      <c r="AS69" s="46">
        <f t="shared" si="55"/>
        <v>92</v>
      </c>
      <c r="AT69" s="47">
        <f t="shared" si="6"/>
        <v>39680.782328648078</v>
      </c>
      <c r="AV69" s="41">
        <f t="shared" si="7"/>
        <v>0</v>
      </c>
      <c r="AW69" s="41">
        <f t="shared" si="8"/>
        <v>0</v>
      </c>
      <c r="AX69" s="43">
        <f t="shared" si="9"/>
        <v>0</v>
      </c>
      <c r="AY69" s="43">
        <f t="shared" si="10"/>
        <v>0</v>
      </c>
      <c r="AZ69" s="11"/>
      <c r="BA69" s="36">
        <f t="shared" si="48"/>
        <v>32</v>
      </c>
      <c r="BB69" s="35">
        <f t="shared" si="57"/>
        <v>46232.523306666662</v>
      </c>
      <c r="BC69" s="120"/>
      <c r="BD69" s="306">
        <f t="shared" si="49"/>
        <v>32</v>
      </c>
      <c r="BE69" s="303">
        <f t="shared" si="62"/>
        <v>32614.710613333329</v>
      </c>
      <c r="BF69" s="208"/>
      <c r="BG69" s="37">
        <f t="shared" si="50"/>
        <v>32</v>
      </c>
      <c r="BH69" s="8">
        <f t="shared" si="12"/>
        <v>368.86886399999997</v>
      </c>
      <c r="BI69" s="8"/>
      <c r="BJ69" s="37">
        <f t="shared" si="51"/>
        <v>32</v>
      </c>
      <c r="BK69" s="8">
        <f t="shared" si="13"/>
        <v>0</v>
      </c>
      <c r="BL69" s="8"/>
      <c r="BM69" s="4">
        <v>31</v>
      </c>
      <c r="BN69" s="14">
        <f t="shared" si="14"/>
        <v>28182.023333333334</v>
      </c>
      <c r="BO69" s="14">
        <f t="shared" si="15"/>
        <v>7101.8698800000002</v>
      </c>
      <c r="BP69" s="14">
        <f t="shared" si="42"/>
        <v>1136.2991808000002</v>
      </c>
      <c r="BQ69" s="14">
        <f t="shared" si="16"/>
        <v>2536.3821000000003</v>
      </c>
      <c r="BR69" s="38">
        <f t="shared" si="17"/>
        <v>38956.57449413334</v>
      </c>
      <c r="BT69" s="4">
        <v>31</v>
      </c>
      <c r="BU69" s="14">
        <f>SUM(BN$39:BN69)</f>
        <v>784994.16333333321</v>
      </c>
      <c r="BV69" s="14">
        <f>SUM(BO$39:BO69)</f>
        <v>197818.52916000003</v>
      </c>
      <c r="BW69" s="14">
        <f>SUM(BP$39:BP69)</f>
        <v>31650.964665600011</v>
      </c>
      <c r="BX69" s="14">
        <f>SUM(BQ$39:BQ69)</f>
        <v>70649.474700000035</v>
      </c>
      <c r="BY69" s="21">
        <f>SUM(BR$39:BR69)</f>
        <v>1085113.131858933</v>
      </c>
    </row>
    <row r="70" spans="1:77" ht="18" customHeight="1" x14ac:dyDescent="0.25">
      <c r="A70" s="268"/>
      <c r="B70" s="267">
        <f t="shared" si="52"/>
        <v>32</v>
      </c>
      <c r="C70" s="264">
        <f t="shared" si="43"/>
        <v>33</v>
      </c>
      <c r="D70" s="265">
        <f t="shared" si="19"/>
        <v>46232.523306666662</v>
      </c>
      <c r="E70" s="266">
        <f t="shared" si="20"/>
        <v>35332.266666666663</v>
      </c>
      <c r="F70" s="266">
        <f t="shared" si="59"/>
        <v>6359.808</v>
      </c>
      <c r="G70" s="266">
        <f t="shared" si="22"/>
        <v>1017.56928</v>
      </c>
      <c r="H70" s="266">
        <f t="shared" si="23"/>
        <v>2271.36</v>
      </c>
      <c r="I70" s="266">
        <f t="shared" si="24"/>
        <v>1251.5193600000002</v>
      </c>
      <c r="J70" s="435"/>
      <c r="K70" s="317">
        <f t="shared" si="25"/>
        <v>0</v>
      </c>
      <c r="L70" s="317">
        <f t="shared" si="63"/>
        <v>0</v>
      </c>
      <c r="M70" s="317">
        <f t="shared" si="27"/>
        <v>0</v>
      </c>
      <c r="N70" s="347">
        <f t="shared" si="28"/>
        <v>0</v>
      </c>
      <c r="O70" s="267">
        <f t="shared" si="53"/>
        <v>92</v>
      </c>
      <c r="P70" s="264">
        <f t="shared" si="29"/>
        <v>93</v>
      </c>
      <c r="Q70" s="265">
        <f t="shared" si="30"/>
        <v>56248.933666331635</v>
      </c>
      <c r="R70" s="266">
        <f t="shared" si="31"/>
        <v>42987.104788370765</v>
      </c>
      <c r="S70" s="266">
        <f t="shared" si="32"/>
        <v>7737.6788619067383</v>
      </c>
      <c r="T70" s="266">
        <f t="shared" si="33"/>
        <v>1238.0286179050781</v>
      </c>
      <c r="U70" s="266">
        <f t="shared" si="34"/>
        <v>2763.4567363952638</v>
      </c>
      <c r="V70" s="266">
        <f t="shared" si="35"/>
        <v>1522.6646617537904</v>
      </c>
      <c r="W70" s="435"/>
      <c r="X70" s="317">
        <f t="shared" si="2"/>
        <v>0</v>
      </c>
      <c r="Y70" s="317">
        <f t="shared" si="3"/>
        <v>0</v>
      </c>
      <c r="Z70" s="317">
        <f t="shared" si="4"/>
        <v>0</v>
      </c>
      <c r="AA70" s="347">
        <f t="shared" si="36"/>
        <v>0</v>
      </c>
      <c r="AB70" s="309"/>
      <c r="AC70" s="132"/>
      <c r="AD70" s="136"/>
      <c r="AE70" s="136"/>
      <c r="AF70" s="132"/>
      <c r="AG70" s="13">
        <f t="shared" si="37"/>
        <v>32</v>
      </c>
      <c r="AH70" s="14">
        <f t="shared" si="64"/>
        <v>5072764.2</v>
      </c>
      <c r="AI70" s="44">
        <f t="shared" si="44"/>
        <v>33</v>
      </c>
      <c r="AJ70" s="55">
        <f t="shared" si="65"/>
        <v>4542720</v>
      </c>
      <c r="AK70" s="59">
        <v>8</v>
      </c>
      <c r="AL70" s="44">
        <f t="shared" si="46"/>
        <v>33</v>
      </c>
      <c r="AM70" s="45">
        <f t="shared" si="39"/>
        <v>46232.523306666662</v>
      </c>
      <c r="AN70" s="44">
        <f t="shared" si="54"/>
        <v>93</v>
      </c>
      <c r="AO70" s="45">
        <f t="shared" si="5"/>
        <v>56248.933666331635</v>
      </c>
      <c r="AP70"/>
      <c r="AQ70" s="46">
        <f t="shared" si="47"/>
        <v>33</v>
      </c>
      <c r="AR70" s="47">
        <f t="shared" si="40"/>
        <v>32614.710613333329</v>
      </c>
      <c r="AS70" s="46">
        <f t="shared" si="55"/>
        <v>93</v>
      </c>
      <c r="AT70" s="47">
        <f t="shared" si="6"/>
        <v>39680.782328648078</v>
      </c>
      <c r="AV70" s="41">
        <f t="shared" si="7"/>
        <v>0</v>
      </c>
      <c r="AW70" s="41">
        <f t="shared" si="8"/>
        <v>0</v>
      </c>
      <c r="AX70" s="43">
        <f t="shared" si="9"/>
        <v>0</v>
      </c>
      <c r="AY70" s="43">
        <f t="shared" si="10"/>
        <v>0</v>
      </c>
      <c r="AZ70" s="11"/>
      <c r="BA70" s="36">
        <f t="shared" si="48"/>
        <v>33</v>
      </c>
      <c r="BB70" s="35">
        <f t="shared" si="57"/>
        <v>46232.523306666662</v>
      </c>
      <c r="BC70" s="120"/>
      <c r="BD70" s="306">
        <f t="shared" si="49"/>
        <v>33</v>
      </c>
      <c r="BE70" s="303">
        <f t="shared" si="62"/>
        <v>32614.710613333329</v>
      </c>
      <c r="BF70" s="208"/>
      <c r="BG70" s="37">
        <f t="shared" si="50"/>
        <v>33</v>
      </c>
      <c r="BH70" s="8">
        <f t="shared" si="12"/>
        <v>368.86886399999997</v>
      </c>
      <c r="BI70" s="8"/>
      <c r="BJ70" s="37">
        <f t="shared" si="51"/>
        <v>33</v>
      </c>
      <c r="BK70" s="8">
        <f t="shared" si="13"/>
        <v>0</v>
      </c>
      <c r="BL70" s="8"/>
      <c r="BM70" s="4">
        <v>32</v>
      </c>
      <c r="BN70" s="14">
        <f t="shared" si="14"/>
        <v>28182.023333333334</v>
      </c>
      <c r="BO70" s="14">
        <f t="shared" si="15"/>
        <v>7101.8698800000002</v>
      </c>
      <c r="BP70" s="14">
        <f t="shared" si="42"/>
        <v>1136.2991808000002</v>
      </c>
      <c r="BQ70" s="14">
        <f t="shared" si="16"/>
        <v>2536.3821000000003</v>
      </c>
      <c r="BR70" s="38">
        <f t="shared" si="17"/>
        <v>38956.57449413334</v>
      </c>
      <c r="BT70" s="4">
        <v>32</v>
      </c>
      <c r="BU70" s="14">
        <f>SUM(BN$39:BN70)</f>
        <v>813176.18666666653</v>
      </c>
      <c r="BV70" s="14">
        <f>SUM(BO$39:BO70)</f>
        <v>204920.39904000005</v>
      </c>
      <c r="BW70" s="14">
        <f>SUM(BP$39:BP70)</f>
        <v>32787.263846400012</v>
      </c>
      <c r="BX70" s="14">
        <f>SUM(BQ$39:BQ70)</f>
        <v>73185.856800000038</v>
      </c>
      <c r="BY70" s="21">
        <f>SUM(BR$39:BR70)</f>
        <v>1124069.7063530663</v>
      </c>
    </row>
    <row r="71" spans="1:77" ht="18" customHeight="1" x14ac:dyDescent="0.25">
      <c r="A71" s="268"/>
      <c r="B71" s="267">
        <f t="shared" si="52"/>
        <v>33</v>
      </c>
      <c r="C71" s="264">
        <f t="shared" si="43"/>
        <v>34</v>
      </c>
      <c r="D71" s="265">
        <f t="shared" si="19"/>
        <v>46232.523306666662</v>
      </c>
      <c r="E71" s="266">
        <f t="shared" si="20"/>
        <v>35332.266666666663</v>
      </c>
      <c r="F71" s="266">
        <f t="shared" si="59"/>
        <v>6359.808</v>
      </c>
      <c r="G71" s="266">
        <f t="shared" si="22"/>
        <v>1017.56928</v>
      </c>
      <c r="H71" s="266">
        <f t="shared" si="23"/>
        <v>2271.36</v>
      </c>
      <c r="I71" s="266">
        <f t="shared" si="24"/>
        <v>1251.5193600000002</v>
      </c>
      <c r="J71" s="435"/>
      <c r="K71" s="317">
        <f t="shared" si="25"/>
        <v>0</v>
      </c>
      <c r="L71" s="317">
        <f t="shared" si="63"/>
        <v>0</v>
      </c>
      <c r="M71" s="317">
        <f t="shared" si="27"/>
        <v>0</v>
      </c>
      <c r="N71" s="347">
        <f t="shared" si="28"/>
        <v>0</v>
      </c>
      <c r="O71" s="267">
        <f t="shared" si="53"/>
        <v>93</v>
      </c>
      <c r="P71" s="264">
        <f t="shared" si="29"/>
        <v>94</v>
      </c>
      <c r="Q71" s="265">
        <f t="shared" si="30"/>
        <v>56248.933666331635</v>
      </c>
      <c r="R71" s="266">
        <f t="shared" si="31"/>
        <v>42987.104788370765</v>
      </c>
      <c r="S71" s="266">
        <f t="shared" si="32"/>
        <v>7737.6788619067383</v>
      </c>
      <c r="T71" s="266">
        <f t="shared" si="33"/>
        <v>1238.0286179050781</v>
      </c>
      <c r="U71" s="266">
        <f t="shared" si="34"/>
        <v>2763.4567363952638</v>
      </c>
      <c r="V71" s="266">
        <f t="shared" si="35"/>
        <v>1522.6646617537904</v>
      </c>
      <c r="W71" s="435"/>
      <c r="X71" s="317">
        <f t="shared" ref="X71:X98" si="66">IF(W71=0,0,($AJ131/$B$10)*$AY71)</f>
        <v>0</v>
      </c>
      <c r="Y71" s="317">
        <f t="shared" ref="Y71:Y98" si="67">IF(W71=0,0,($AJ131*($G$15*(100%-$BE$29))*$AY71))</f>
        <v>0</v>
      </c>
      <c r="Z71" s="317">
        <f t="shared" ref="Z71:Z98" si="68">Y71*0.16</f>
        <v>0</v>
      </c>
      <c r="AA71" s="347">
        <f t="shared" si="36"/>
        <v>0</v>
      </c>
      <c r="AB71" s="309"/>
      <c r="AC71" s="132"/>
      <c r="AD71" s="136"/>
      <c r="AE71" s="136"/>
      <c r="AF71" s="132"/>
      <c r="AG71" s="13">
        <f t="shared" si="37"/>
        <v>33</v>
      </c>
      <c r="AH71" s="14">
        <f t="shared" si="64"/>
        <v>5072764.2</v>
      </c>
      <c r="AI71" s="44">
        <f t="shared" si="44"/>
        <v>34</v>
      </c>
      <c r="AJ71" s="55">
        <f t="shared" si="65"/>
        <v>4542720</v>
      </c>
      <c r="AK71" s="59">
        <v>9</v>
      </c>
      <c r="AL71" s="44">
        <f t="shared" si="46"/>
        <v>34</v>
      </c>
      <c r="AM71" s="45">
        <f t="shared" si="39"/>
        <v>46232.523306666662</v>
      </c>
      <c r="AN71" s="44">
        <f t="shared" si="54"/>
        <v>94</v>
      </c>
      <c r="AO71" s="45">
        <f t="shared" si="5"/>
        <v>56248.933666331635</v>
      </c>
      <c r="AP71"/>
      <c r="AQ71" s="46">
        <f t="shared" si="47"/>
        <v>34</v>
      </c>
      <c r="AR71" s="47">
        <f t="shared" si="40"/>
        <v>32614.710613333329</v>
      </c>
      <c r="AS71" s="46">
        <f t="shared" si="55"/>
        <v>94</v>
      </c>
      <c r="AT71" s="47">
        <f t="shared" si="6"/>
        <v>39680.782328648078</v>
      </c>
      <c r="AV71" s="41">
        <f t="shared" ref="AV71:AV98" si="69">J71</f>
        <v>0</v>
      </c>
      <c r="AW71" s="41">
        <f t="shared" ref="AW71:AW98" si="70">W71</f>
        <v>0</v>
      </c>
      <c r="AX71" s="43">
        <f t="shared" si="9"/>
        <v>0</v>
      </c>
      <c r="AY71" s="43">
        <f t="shared" si="10"/>
        <v>0</v>
      </c>
      <c r="AZ71" s="11"/>
      <c r="BA71" s="36">
        <f t="shared" si="48"/>
        <v>34</v>
      </c>
      <c r="BB71" s="35">
        <f t="shared" si="57"/>
        <v>46232.523306666662</v>
      </c>
      <c r="BC71" s="120"/>
      <c r="BD71" s="306">
        <f t="shared" si="49"/>
        <v>34</v>
      </c>
      <c r="BE71" s="303">
        <f t="shared" si="62"/>
        <v>32614.710613333329</v>
      </c>
      <c r="BF71" s="208"/>
      <c r="BG71" s="37">
        <f t="shared" si="50"/>
        <v>34</v>
      </c>
      <c r="BH71" s="8">
        <f t="shared" ref="BH71:BH98" si="71">VLOOKUP(BA71,$AI$39:$AJ$158,2,0)*($G$15*1.16)*5%*(IF(D71/BB71=1,1,D71/BB71))</f>
        <v>368.86886399999997</v>
      </c>
      <c r="BI71" s="8"/>
      <c r="BJ71" s="37">
        <f t="shared" si="51"/>
        <v>34</v>
      </c>
      <c r="BK71" s="8">
        <f t="shared" ref="BK71:BK98" si="72">IF(BH71=0,0,(AJ71/$B$10+AJ71*$G$15*1.16)-BE71)*(IF(D71/BB71=1,1,D71/BB71))*AX71</f>
        <v>0</v>
      </c>
      <c r="BL71" s="8"/>
      <c r="BM71" s="4">
        <v>33</v>
      </c>
      <c r="BN71" s="14">
        <f t="shared" si="14"/>
        <v>28182.023333333334</v>
      </c>
      <c r="BO71" s="14">
        <f t="shared" ref="BO71:BO98" si="73">AH71*$G$15*(100%-$BB$26-$BB$28)</f>
        <v>7101.8698800000002</v>
      </c>
      <c r="BP71" s="14">
        <f t="shared" si="42"/>
        <v>1136.2991808000002</v>
      </c>
      <c r="BQ71" s="14">
        <f t="shared" si="16"/>
        <v>2536.3821000000003</v>
      </c>
      <c r="BR71" s="38">
        <f t="shared" ref="BR71:BR98" si="74">SUM(BN71:BQ71)</f>
        <v>38956.57449413334</v>
      </c>
      <c r="BT71" s="4">
        <v>33</v>
      </c>
      <c r="BU71" s="14">
        <f>SUM(BN$39:BN71)</f>
        <v>841358.20999999985</v>
      </c>
      <c r="BV71" s="14">
        <f>SUM(BO$39:BO71)</f>
        <v>212022.26892000006</v>
      </c>
      <c r="BW71" s="14">
        <f>SUM(BP$39:BP71)</f>
        <v>33923.563027200013</v>
      </c>
      <c r="BX71" s="14">
        <f>SUM(BQ$39:BQ71)</f>
        <v>75722.23890000004</v>
      </c>
      <c r="BY71" s="21">
        <f>SUM(BR$39:BR71)</f>
        <v>1163026.2808471995</v>
      </c>
    </row>
    <row r="72" spans="1:77" ht="18" customHeight="1" x14ac:dyDescent="0.25">
      <c r="A72" s="268"/>
      <c r="B72" s="267">
        <f t="shared" si="52"/>
        <v>34</v>
      </c>
      <c r="C72" s="264">
        <f t="shared" si="43"/>
        <v>35</v>
      </c>
      <c r="D72" s="265">
        <f t="shared" si="19"/>
        <v>46232.523306666662</v>
      </c>
      <c r="E72" s="266">
        <f t="shared" si="20"/>
        <v>35332.266666666663</v>
      </c>
      <c r="F72" s="266">
        <f t="shared" si="59"/>
        <v>6359.808</v>
      </c>
      <c r="G72" s="266">
        <f t="shared" si="22"/>
        <v>1017.56928</v>
      </c>
      <c r="H72" s="266">
        <f t="shared" si="23"/>
        <v>2271.36</v>
      </c>
      <c r="I72" s="266">
        <f t="shared" si="24"/>
        <v>1251.5193600000002</v>
      </c>
      <c r="J72" s="435"/>
      <c r="K72" s="317">
        <f t="shared" si="25"/>
        <v>0</v>
      </c>
      <c r="L72" s="317">
        <f t="shared" si="63"/>
        <v>0</v>
      </c>
      <c r="M72" s="317">
        <f t="shared" si="27"/>
        <v>0</v>
      </c>
      <c r="N72" s="347">
        <f t="shared" si="28"/>
        <v>0</v>
      </c>
      <c r="O72" s="267">
        <f t="shared" si="53"/>
        <v>94</v>
      </c>
      <c r="P72" s="264">
        <f t="shared" ref="P72:P98" si="75">IF(Q72=0,0,IF(P71&gt;=180,0,IF(P71=0,0,P71+1)))</f>
        <v>95</v>
      </c>
      <c r="Q72" s="265">
        <f t="shared" si="30"/>
        <v>56248.933666331635</v>
      </c>
      <c r="R72" s="266">
        <f t="shared" si="31"/>
        <v>42987.104788370765</v>
      </c>
      <c r="S72" s="266">
        <f t="shared" si="32"/>
        <v>7737.6788619067383</v>
      </c>
      <c r="T72" s="266">
        <f t="shared" si="33"/>
        <v>1238.0286179050781</v>
      </c>
      <c r="U72" s="266">
        <f t="shared" si="34"/>
        <v>2763.4567363952638</v>
      </c>
      <c r="V72" s="266">
        <f t="shared" si="35"/>
        <v>1522.6646617537904</v>
      </c>
      <c r="W72" s="435"/>
      <c r="X72" s="317">
        <f t="shared" si="66"/>
        <v>0</v>
      </c>
      <c r="Y72" s="317">
        <f t="shared" si="67"/>
        <v>0</v>
      </c>
      <c r="Z72" s="317">
        <f t="shared" si="68"/>
        <v>0</v>
      </c>
      <c r="AA72" s="347">
        <f t="shared" si="36"/>
        <v>0</v>
      </c>
      <c r="AB72" s="309"/>
      <c r="AC72" s="132"/>
      <c r="AD72" s="136"/>
      <c r="AE72" s="136"/>
      <c r="AF72" s="132"/>
      <c r="AG72" s="13">
        <f t="shared" si="37"/>
        <v>34</v>
      </c>
      <c r="AH72" s="14">
        <f t="shared" si="64"/>
        <v>5072764.2</v>
      </c>
      <c r="AI72" s="44">
        <f t="shared" si="44"/>
        <v>35</v>
      </c>
      <c r="AJ72" s="55">
        <f t="shared" si="65"/>
        <v>4542720</v>
      </c>
      <c r="AK72" s="59">
        <v>10</v>
      </c>
      <c r="AL72" s="44">
        <f t="shared" si="46"/>
        <v>35</v>
      </c>
      <c r="AM72" s="45">
        <f t="shared" si="39"/>
        <v>46232.523306666662</v>
      </c>
      <c r="AN72" s="44">
        <f t="shared" si="54"/>
        <v>95</v>
      </c>
      <c r="AO72" s="45">
        <f t="shared" si="5"/>
        <v>56248.933666331635</v>
      </c>
      <c r="AP72"/>
      <c r="AQ72" s="46">
        <f t="shared" si="47"/>
        <v>35</v>
      </c>
      <c r="AR72" s="47">
        <f t="shared" si="40"/>
        <v>32614.710613333329</v>
      </c>
      <c r="AS72" s="46">
        <f t="shared" si="55"/>
        <v>95</v>
      </c>
      <c r="AT72" s="47">
        <f t="shared" si="6"/>
        <v>39680.782328648078</v>
      </c>
      <c r="AV72" s="41">
        <f t="shared" si="69"/>
        <v>0</v>
      </c>
      <c r="AW72" s="41">
        <f t="shared" si="70"/>
        <v>0</v>
      </c>
      <c r="AX72" s="43">
        <f t="shared" si="9"/>
        <v>0</v>
      </c>
      <c r="AY72" s="43">
        <f t="shared" si="10"/>
        <v>0</v>
      </c>
      <c r="AZ72" s="11"/>
      <c r="BA72" s="36">
        <f>+BA71+1</f>
        <v>35</v>
      </c>
      <c r="BB72" s="35">
        <f t="shared" si="57"/>
        <v>46232.523306666662</v>
      </c>
      <c r="BC72" s="120"/>
      <c r="BD72" s="306">
        <f>+BD71+1</f>
        <v>35</v>
      </c>
      <c r="BE72" s="303">
        <f t="shared" si="62"/>
        <v>32614.710613333329</v>
      </c>
      <c r="BF72" s="208"/>
      <c r="BG72" s="37">
        <f t="shared" si="50"/>
        <v>35</v>
      </c>
      <c r="BH72" s="8">
        <f t="shared" si="71"/>
        <v>368.86886399999997</v>
      </c>
      <c r="BI72" s="8"/>
      <c r="BJ72" s="37">
        <f t="shared" si="51"/>
        <v>35</v>
      </c>
      <c r="BK72" s="8">
        <f t="shared" si="72"/>
        <v>0</v>
      </c>
      <c r="BL72" s="8"/>
      <c r="BM72" s="4">
        <v>34</v>
      </c>
      <c r="BN72" s="14">
        <f t="shared" si="14"/>
        <v>28182.023333333334</v>
      </c>
      <c r="BO72" s="14">
        <f t="shared" si="73"/>
        <v>7101.8698800000002</v>
      </c>
      <c r="BP72" s="14">
        <f t="shared" si="42"/>
        <v>1136.2991808000002</v>
      </c>
      <c r="BQ72" s="14">
        <f t="shared" si="16"/>
        <v>2536.3821000000003</v>
      </c>
      <c r="BR72" s="38">
        <f t="shared" si="74"/>
        <v>38956.57449413334</v>
      </c>
      <c r="BT72" s="4">
        <v>34</v>
      </c>
      <c r="BU72" s="14">
        <f>SUM(BN$39:BN72)</f>
        <v>869540.23333333316</v>
      </c>
      <c r="BV72" s="14">
        <f>SUM(BO$39:BO72)</f>
        <v>219124.13880000007</v>
      </c>
      <c r="BW72" s="14">
        <f>SUM(BP$39:BP72)</f>
        <v>35059.862208000013</v>
      </c>
      <c r="BX72" s="14">
        <f>SUM(BQ$39:BQ72)</f>
        <v>78258.621000000043</v>
      </c>
      <c r="BY72" s="21">
        <f>SUM(BR$39:BR72)</f>
        <v>1201982.8553413327</v>
      </c>
    </row>
    <row r="73" spans="1:77" ht="18" customHeight="1" x14ac:dyDescent="0.25">
      <c r="A73" s="268"/>
      <c r="B73" s="267">
        <f t="shared" si="52"/>
        <v>35</v>
      </c>
      <c r="C73" s="264">
        <f t="shared" si="43"/>
        <v>36</v>
      </c>
      <c r="D73" s="265">
        <f t="shared" si="19"/>
        <v>46232.523306666662</v>
      </c>
      <c r="E73" s="266">
        <f t="shared" si="20"/>
        <v>35332.266666666663</v>
      </c>
      <c r="F73" s="266">
        <f t="shared" si="59"/>
        <v>6359.808</v>
      </c>
      <c r="G73" s="266">
        <f t="shared" si="22"/>
        <v>1017.56928</v>
      </c>
      <c r="H73" s="266">
        <f t="shared" si="23"/>
        <v>2271.36</v>
      </c>
      <c r="I73" s="266">
        <f t="shared" si="24"/>
        <v>1251.5193600000002</v>
      </c>
      <c r="J73" s="435"/>
      <c r="K73" s="317">
        <f t="shared" si="25"/>
        <v>0</v>
      </c>
      <c r="L73" s="317">
        <f t="shared" si="63"/>
        <v>0</v>
      </c>
      <c r="M73" s="317">
        <f t="shared" si="27"/>
        <v>0</v>
      </c>
      <c r="N73" s="347">
        <f t="shared" si="28"/>
        <v>0</v>
      </c>
      <c r="O73" s="267">
        <f t="shared" si="53"/>
        <v>95</v>
      </c>
      <c r="P73" s="264">
        <f t="shared" si="75"/>
        <v>96</v>
      </c>
      <c r="Q73" s="265">
        <f t="shared" si="30"/>
        <v>56248.933666331635</v>
      </c>
      <c r="R73" s="266">
        <f t="shared" si="31"/>
        <v>42987.104788370765</v>
      </c>
      <c r="S73" s="266">
        <f t="shared" si="32"/>
        <v>7737.6788619067383</v>
      </c>
      <c r="T73" s="266">
        <f t="shared" si="33"/>
        <v>1238.0286179050781</v>
      </c>
      <c r="U73" s="266">
        <f t="shared" si="34"/>
        <v>2763.4567363952638</v>
      </c>
      <c r="V73" s="266">
        <f t="shared" si="35"/>
        <v>1522.6646617537904</v>
      </c>
      <c r="W73" s="435"/>
      <c r="X73" s="317">
        <f t="shared" si="66"/>
        <v>0</v>
      </c>
      <c r="Y73" s="317">
        <f t="shared" si="67"/>
        <v>0</v>
      </c>
      <c r="Z73" s="317">
        <f t="shared" si="68"/>
        <v>0</v>
      </c>
      <c r="AA73" s="347">
        <f t="shared" si="36"/>
        <v>0</v>
      </c>
      <c r="AB73" s="309"/>
      <c r="AC73" s="132"/>
      <c r="AD73" s="136"/>
      <c r="AE73" s="136"/>
      <c r="AF73" s="132"/>
      <c r="AG73" s="13">
        <f t="shared" si="37"/>
        <v>35</v>
      </c>
      <c r="AH73" s="14">
        <f t="shared" si="64"/>
        <v>5072764.2</v>
      </c>
      <c r="AI73" s="44">
        <f t="shared" si="44"/>
        <v>36</v>
      </c>
      <c r="AJ73" s="55">
        <f t="shared" si="65"/>
        <v>4542720</v>
      </c>
      <c r="AK73" s="59">
        <v>11</v>
      </c>
      <c r="AL73" s="44">
        <f t="shared" si="46"/>
        <v>36</v>
      </c>
      <c r="AM73" s="45">
        <f t="shared" si="39"/>
        <v>46232.523306666662</v>
      </c>
      <c r="AN73" s="44">
        <f t="shared" si="54"/>
        <v>96</v>
      </c>
      <c r="AO73" s="45">
        <f t="shared" si="5"/>
        <v>56248.933666331635</v>
      </c>
      <c r="AP73"/>
      <c r="AQ73" s="46">
        <f t="shared" si="47"/>
        <v>36</v>
      </c>
      <c r="AR73" s="47">
        <f t="shared" si="40"/>
        <v>32614.710613333329</v>
      </c>
      <c r="AS73" s="46">
        <f t="shared" si="55"/>
        <v>96</v>
      </c>
      <c r="AT73" s="47">
        <f t="shared" si="6"/>
        <v>39680.782328648078</v>
      </c>
      <c r="AV73" s="41">
        <f t="shared" si="69"/>
        <v>0</v>
      </c>
      <c r="AW73" s="41">
        <f t="shared" si="70"/>
        <v>0</v>
      </c>
      <c r="AX73" s="43">
        <f t="shared" si="9"/>
        <v>0</v>
      </c>
      <c r="AY73" s="43">
        <f t="shared" si="10"/>
        <v>0</v>
      </c>
      <c r="AZ73" s="11"/>
      <c r="BA73" s="36">
        <f t="shared" ref="BA73:BA128" si="76">+BA72+1</f>
        <v>36</v>
      </c>
      <c r="BB73" s="35">
        <f t="shared" si="57"/>
        <v>46232.523306666662</v>
      </c>
      <c r="BC73" s="120"/>
      <c r="BD73" s="306">
        <f t="shared" ref="BD73:BD128" si="77">+BD72+1</f>
        <v>36</v>
      </c>
      <c r="BE73" s="303">
        <f t="shared" si="62"/>
        <v>32614.710613333329</v>
      </c>
      <c r="BF73" s="208"/>
      <c r="BG73" s="37">
        <f t="shared" si="50"/>
        <v>36</v>
      </c>
      <c r="BH73" s="8">
        <f t="shared" si="71"/>
        <v>368.86886399999997</v>
      </c>
      <c r="BI73" s="8"/>
      <c r="BJ73" s="37">
        <f t="shared" si="51"/>
        <v>36</v>
      </c>
      <c r="BK73" s="8">
        <f t="shared" si="72"/>
        <v>0</v>
      </c>
      <c r="BL73" s="8"/>
      <c r="BM73" s="4">
        <v>35</v>
      </c>
      <c r="BN73" s="14">
        <f t="shared" si="14"/>
        <v>28182.023333333334</v>
      </c>
      <c r="BO73" s="14">
        <f t="shared" si="73"/>
        <v>7101.8698800000002</v>
      </c>
      <c r="BP73" s="14">
        <f t="shared" si="42"/>
        <v>1136.2991808000002</v>
      </c>
      <c r="BQ73" s="14">
        <f t="shared" si="16"/>
        <v>2536.3821000000003</v>
      </c>
      <c r="BR73" s="38">
        <f t="shared" si="74"/>
        <v>38956.57449413334</v>
      </c>
      <c r="BT73" s="4">
        <v>35</v>
      </c>
      <c r="BU73" s="14">
        <f>SUM(BN$39:BN73)</f>
        <v>897722.25666666648</v>
      </c>
      <c r="BV73" s="14">
        <f>SUM(BO$39:BO73)</f>
        <v>226226.00868000009</v>
      </c>
      <c r="BW73" s="14">
        <f>SUM(BP$39:BP73)</f>
        <v>36196.161388800014</v>
      </c>
      <c r="BX73" s="14">
        <f>SUM(BQ$39:BQ73)</f>
        <v>80795.003100000045</v>
      </c>
      <c r="BY73" s="21">
        <f>SUM(BR$39:BR73)</f>
        <v>1240939.429835466</v>
      </c>
    </row>
    <row r="74" spans="1:77" ht="18" customHeight="1" x14ac:dyDescent="0.25">
      <c r="A74" s="268"/>
      <c r="B74" s="267">
        <f t="shared" si="52"/>
        <v>36</v>
      </c>
      <c r="C74" s="264">
        <f t="shared" si="43"/>
        <v>37</v>
      </c>
      <c r="D74" s="265">
        <f t="shared" si="19"/>
        <v>46232.523306666662</v>
      </c>
      <c r="E74" s="266">
        <f t="shared" si="20"/>
        <v>35332.266666666663</v>
      </c>
      <c r="F74" s="266">
        <f t="shared" si="59"/>
        <v>6359.808</v>
      </c>
      <c r="G74" s="266">
        <f t="shared" si="22"/>
        <v>1017.56928</v>
      </c>
      <c r="H74" s="266">
        <f t="shared" si="23"/>
        <v>2271.36</v>
      </c>
      <c r="I74" s="266">
        <f t="shared" si="24"/>
        <v>1251.5193600000002</v>
      </c>
      <c r="J74" s="435"/>
      <c r="K74" s="317">
        <f t="shared" si="25"/>
        <v>0</v>
      </c>
      <c r="L74" s="317">
        <f t="shared" si="63"/>
        <v>0</v>
      </c>
      <c r="M74" s="317">
        <f t="shared" si="27"/>
        <v>0</v>
      </c>
      <c r="N74" s="347">
        <f t="shared" si="28"/>
        <v>0</v>
      </c>
      <c r="O74" s="267">
        <f t="shared" si="53"/>
        <v>96</v>
      </c>
      <c r="P74" s="264">
        <f t="shared" si="75"/>
        <v>97</v>
      </c>
      <c r="Q74" s="265">
        <f t="shared" si="30"/>
        <v>56248.933666331635</v>
      </c>
      <c r="R74" s="266">
        <f t="shared" si="31"/>
        <v>42987.104788370765</v>
      </c>
      <c r="S74" s="266">
        <f t="shared" si="32"/>
        <v>7737.6788619067383</v>
      </c>
      <c r="T74" s="266">
        <f t="shared" si="33"/>
        <v>1238.0286179050781</v>
      </c>
      <c r="U74" s="266">
        <f t="shared" si="34"/>
        <v>2763.4567363952638</v>
      </c>
      <c r="V74" s="266">
        <f t="shared" si="35"/>
        <v>1522.6646617537904</v>
      </c>
      <c r="W74" s="435"/>
      <c r="X74" s="317">
        <f t="shared" si="66"/>
        <v>0</v>
      </c>
      <c r="Y74" s="317">
        <f t="shared" si="67"/>
        <v>0</v>
      </c>
      <c r="Z74" s="317">
        <f t="shared" si="68"/>
        <v>0</v>
      </c>
      <c r="AA74" s="347">
        <f t="shared" si="36"/>
        <v>0</v>
      </c>
      <c r="AB74" s="309"/>
      <c r="AC74" s="132"/>
      <c r="AD74" s="136"/>
      <c r="AE74" s="136"/>
      <c r="AF74" s="132"/>
      <c r="AG74" s="13">
        <f t="shared" si="37"/>
        <v>36</v>
      </c>
      <c r="AH74" s="14">
        <f t="shared" si="64"/>
        <v>5072764.2</v>
      </c>
      <c r="AI74" s="44">
        <f t="shared" si="44"/>
        <v>37</v>
      </c>
      <c r="AJ74" s="55">
        <f t="shared" si="65"/>
        <v>4542720</v>
      </c>
      <c r="AK74" s="59">
        <v>12</v>
      </c>
      <c r="AL74" s="44">
        <f t="shared" si="46"/>
        <v>37</v>
      </c>
      <c r="AM74" s="45">
        <f t="shared" si="39"/>
        <v>46232.523306666662</v>
      </c>
      <c r="AN74" s="44">
        <f t="shared" si="54"/>
        <v>97</v>
      </c>
      <c r="AO74" s="45">
        <f t="shared" si="5"/>
        <v>56248.933666331635</v>
      </c>
      <c r="AP74"/>
      <c r="AQ74" s="46">
        <f t="shared" si="47"/>
        <v>37</v>
      </c>
      <c r="AR74" s="47">
        <f t="shared" si="40"/>
        <v>32614.710613333329</v>
      </c>
      <c r="AS74" s="46">
        <f t="shared" si="55"/>
        <v>97</v>
      </c>
      <c r="AT74" s="47">
        <f t="shared" si="6"/>
        <v>39680.782328648078</v>
      </c>
      <c r="AV74" s="41">
        <f t="shared" si="69"/>
        <v>0</v>
      </c>
      <c r="AW74" s="41">
        <f t="shared" si="70"/>
        <v>0</v>
      </c>
      <c r="AX74" s="43">
        <f t="shared" si="9"/>
        <v>0</v>
      </c>
      <c r="AY74" s="43">
        <f t="shared" si="10"/>
        <v>0</v>
      </c>
      <c r="AZ74" s="11"/>
      <c r="BA74" s="36">
        <f t="shared" si="76"/>
        <v>37</v>
      </c>
      <c r="BB74" s="35">
        <f t="shared" si="57"/>
        <v>46232.523306666662</v>
      </c>
      <c r="BC74" s="120"/>
      <c r="BD74" s="306">
        <f t="shared" si="77"/>
        <v>37</v>
      </c>
      <c r="BE74" s="303">
        <f t="shared" si="62"/>
        <v>32614.710613333329</v>
      </c>
      <c r="BF74" s="208"/>
      <c r="BG74" s="37">
        <f t="shared" si="50"/>
        <v>37</v>
      </c>
      <c r="BH74" s="8">
        <f t="shared" si="71"/>
        <v>368.86886399999997</v>
      </c>
      <c r="BI74" s="8"/>
      <c r="BJ74" s="37">
        <f t="shared" si="51"/>
        <v>37</v>
      </c>
      <c r="BK74" s="8">
        <f t="shared" si="72"/>
        <v>0</v>
      </c>
      <c r="BL74" s="8"/>
      <c r="BM74" s="4">
        <v>36</v>
      </c>
      <c r="BN74" s="14">
        <f t="shared" si="14"/>
        <v>28182.023333333334</v>
      </c>
      <c r="BO74" s="14">
        <f t="shared" si="73"/>
        <v>7101.8698800000002</v>
      </c>
      <c r="BP74" s="14">
        <f t="shared" si="42"/>
        <v>1136.2991808000002</v>
      </c>
      <c r="BQ74" s="14">
        <f t="shared" si="16"/>
        <v>2536.3821000000003</v>
      </c>
      <c r="BR74" s="38">
        <f t="shared" si="74"/>
        <v>38956.57449413334</v>
      </c>
      <c r="BT74" s="4">
        <v>36</v>
      </c>
      <c r="BU74" s="14">
        <f>SUM(BN$39:BN74)</f>
        <v>925904.2799999998</v>
      </c>
      <c r="BV74" s="14">
        <f>SUM(BO$39:BO74)</f>
        <v>233327.8785600001</v>
      </c>
      <c r="BW74" s="14">
        <f>SUM(BP$39:BP74)</f>
        <v>37332.460569600014</v>
      </c>
      <c r="BX74" s="14">
        <f>SUM(BQ$39:BQ74)</f>
        <v>83331.385200000048</v>
      </c>
      <c r="BY74" s="21">
        <f>SUM(BR$39:BR74)</f>
        <v>1279896.0043295992</v>
      </c>
    </row>
    <row r="75" spans="1:77" ht="18" customHeight="1" x14ac:dyDescent="0.25">
      <c r="A75" s="268"/>
      <c r="B75" s="267">
        <f t="shared" si="52"/>
        <v>37</v>
      </c>
      <c r="C75" s="264">
        <f t="shared" si="43"/>
        <v>38</v>
      </c>
      <c r="D75" s="265">
        <f t="shared" si="19"/>
        <v>48081.824238933325</v>
      </c>
      <c r="E75" s="266">
        <f t="shared" si="20"/>
        <v>36745.55733333333</v>
      </c>
      <c r="F75" s="266">
        <f t="shared" si="59"/>
        <v>6614.2003199999999</v>
      </c>
      <c r="G75" s="266">
        <f t="shared" si="22"/>
        <v>1058.2720512000001</v>
      </c>
      <c r="H75" s="266">
        <f t="shared" si="23"/>
        <v>2362.2143999999998</v>
      </c>
      <c r="I75" s="266">
        <f t="shared" si="24"/>
        <v>1301.5801344000001</v>
      </c>
      <c r="J75" s="435">
        <f>'Resumen Flex'!K39</f>
        <v>0</v>
      </c>
      <c r="K75" s="317">
        <f t="shared" si="25"/>
        <v>0</v>
      </c>
      <c r="L75" s="317">
        <f>IF(J75=0,0,($AJ75*$G$15*(100%-$BE$29)*$AX75))</f>
        <v>0</v>
      </c>
      <c r="M75" s="317">
        <f t="shared" si="27"/>
        <v>0</v>
      </c>
      <c r="N75" s="347">
        <f t="shared" si="28"/>
        <v>0</v>
      </c>
      <c r="O75" s="267">
        <f t="shared" si="53"/>
        <v>97</v>
      </c>
      <c r="P75" s="264">
        <f t="shared" si="75"/>
        <v>98</v>
      </c>
      <c r="Q75" s="265">
        <f t="shared" si="30"/>
        <v>58498.891012984895</v>
      </c>
      <c r="R75" s="266">
        <f t="shared" si="31"/>
        <v>44706.588979905595</v>
      </c>
      <c r="S75" s="266">
        <f t="shared" si="32"/>
        <v>8047.1860163830079</v>
      </c>
      <c r="T75" s="266">
        <f t="shared" si="33"/>
        <v>1287.5497626212814</v>
      </c>
      <c r="U75" s="266">
        <f t="shared" si="34"/>
        <v>2873.995005851074</v>
      </c>
      <c r="V75" s="266">
        <f t="shared" si="35"/>
        <v>1583.5712482239419</v>
      </c>
      <c r="W75" s="435">
        <f>'Resumen Flex'!K44</f>
        <v>0</v>
      </c>
      <c r="X75" s="317">
        <f t="shared" si="66"/>
        <v>0</v>
      </c>
      <c r="Y75" s="317">
        <f t="shared" si="67"/>
        <v>0</v>
      </c>
      <c r="Z75" s="317">
        <f t="shared" si="68"/>
        <v>0</v>
      </c>
      <c r="AA75" s="347">
        <f t="shared" si="36"/>
        <v>0</v>
      </c>
      <c r="AB75" s="309"/>
      <c r="AC75" s="136"/>
      <c r="AD75" s="136"/>
      <c r="AE75" s="136"/>
      <c r="AF75" s="136"/>
      <c r="AG75" s="13">
        <f t="shared" si="37"/>
        <v>37</v>
      </c>
      <c r="AH75" s="14">
        <f>((AH74)+(AH74*$D$29))</f>
        <v>5574967.8558</v>
      </c>
      <c r="AI75" s="44">
        <f t="shared" si="44"/>
        <v>38</v>
      </c>
      <c r="AJ75" s="55">
        <f>((AJ74)+(AJ74*$E$29))</f>
        <v>4724428.7999999998</v>
      </c>
      <c r="AK75" s="59">
        <v>1</v>
      </c>
      <c r="AL75" s="44">
        <f t="shared" si="46"/>
        <v>38</v>
      </c>
      <c r="AM75" s="45">
        <f t="shared" si="39"/>
        <v>48081.824238933325</v>
      </c>
      <c r="AN75" s="44">
        <f t="shared" si="54"/>
        <v>98</v>
      </c>
      <c r="AO75" s="45">
        <f t="shared" si="5"/>
        <v>58498.891012984895</v>
      </c>
      <c r="AP75"/>
      <c r="AQ75" s="46">
        <f t="shared" si="47"/>
        <v>38</v>
      </c>
      <c r="AR75" s="47">
        <f t="shared" si="40"/>
        <v>33919.299037866665</v>
      </c>
      <c r="AS75" s="46">
        <f t="shared" si="55"/>
        <v>98</v>
      </c>
      <c r="AT75" s="47">
        <f t="shared" si="6"/>
        <v>41268.013621794002</v>
      </c>
      <c r="AV75" s="41">
        <f t="shared" si="69"/>
        <v>0</v>
      </c>
      <c r="AW75" s="41">
        <f t="shared" si="70"/>
        <v>0</v>
      </c>
      <c r="AX75" s="43">
        <f t="shared" si="9"/>
        <v>0</v>
      </c>
      <c r="AY75" s="43">
        <f t="shared" si="10"/>
        <v>0</v>
      </c>
      <c r="AZ75" s="11"/>
      <c r="BA75" s="36">
        <f t="shared" si="76"/>
        <v>38</v>
      </c>
      <c r="BB75" s="35">
        <f t="shared" si="57"/>
        <v>48081.824238933325</v>
      </c>
      <c r="BC75" s="120"/>
      <c r="BD75" s="307">
        <f t="shared" si="77"/>
        <v>38</v>
      </c>
      <c r="BE75" s="303">
        <f t="shared" ref="BE75:BE106" si="78">AJ75/$B$10+AJ75*($G$15*(100%-$BE$29)*1.16)</f>
        <v>33919.299037866665</v>
      </c>
      <c r="BF75" s="208"/>
      <c r="BG75" s="37">
        <f t="shared" si="50"/>
        <v>38</v>
      </c>
      <c r="BH75" s="8">
        <f t="shared" si="71"/>
        <v>383.62361855999995</v>
      </c>
      <c r="BI75" s="8"/>
      <c r="BJ75" s="37">
        <f t="shared" si="51"/>
        <v>38</v>
      </c>
      <c r="BK75" s="8">
        <f t="shared" si="72"/>
        <v>0</v>
      </c>
      <c r="BL75" s="8"/>
      <c r="BM75" s="4">
        <v>37</v>
      </c>
      <c r="BN75" s="14">
        <f t="shared" si="14"/>
        <v>30972.043643333334</v>
      </c>
      <c r="BO75" s="14">
        <f t="shared" si="73"/>
        <v>7804.9549981199998</v>
      </c>
      <c r="BP75" s="14">
        <f t="shared" si="42"/>
        <v>1248.7927996992</v>
      </c>
      <c r="BQ75" s="14">
        <f t="shared" si="16"/>
        <v>2787.4839279000003</v>
      </c>
      <c r="BR75" s="38">
        <f t="shared" si="74"/>
        <v>42813.275369052535</v>
      </c>
      <c r="BT75" s="4">
        <v>37</v>
      </c>
      <c r="BU75" s="14">
        <f>SUM(BN$39:BN75)</f>
        <v>956876.32364333316</v>
      </c>
      <c r="BV75" s="14">
        <f>SUM(BO$39:BO75)</f>
        <v>241132.8335581201</v>
      </c>
      <c r="BW75" s="14">
        <f>SUM(BP$39:BP75)</f>
        <v>38581.253369299215</v>
      </c>
      <c r="BX75" s="14">
        <f>SUM(BQ$39:BQ75)</f>
        <v>86118.869127900049</v>
      </c>
      <c r="BY75" s="21">
        <f>SUM(BR$39:BR75)</f>
        <v>1322709.2796986517</v>
      </c>
    </row>
    <row r="76" spans="1:77" ht="18" customHeight="1" x14ac:dyDescent="0.25">
      <c r="A76" s="268"/>
      <c r="B76" s="267">
        <f t="shared" si="52"/>
        <v>38</v>
      </c>
      <c r="C76" s="264">
        <f t="shared" si="43"/>
        <v>39</v>
      </c>
      <c r="D76" s="265">
        <f t="shared" si="19"/>
        <v>48081.824238933325</v>
      </c>
      <c r="E76" s="266">
        <f t="shared" si="20"/>
        <v>36745.55733333333</v>
      </c>
      <c r="F76" s="266">
        <f t="shared" si="59"/>
        <v>6614.2003199999999</v>
      </c>
      <c r="G76" s="266">
        <f t="shared" si="22"/>
        <v>1058.2720512000001</v>
      </c>
      <c r="H76" s="266">
        <f t="shared" si="23"/>
        <v>2362.2143999999998</v>
      </c>
      <c r="I76" s="266">
        <f t="shared" si="24"/>
        <v>1301.5801344000001</v>
      </c>
      <c r="J76" s="435"/>
      <c r="K76" s="317">
        <f t="shared" si="25"/>
        <v>0</v>
      </c>
      <c r="L76" s="317">
        <f t="shared" ref="L76:L98" si="79">IF(J76=0,0,($AJ76*$G$15*(100%-$BE$29)*$AX76))</f>
        <v>0</v>
      </c>
      <c r="M76" s="317">
        <f t="shared" si="27"/>
        <v>0</v>
      </c>
      <c r="N76" s="347">
        <f t="shared" si="28"/>
        <v>0</v>
      </c>
      <c r="O76" s="267">
        <f t="shared" si="53"/>
        <v>98</v>
      </c>
      <c r="P76" s="264">
        <f t="shared" si="75"/>
        <v>99</v>
      </c>
      <c r="Q76" s="265">
        <f t="shared" si="30"/>
        <v>58498.891012984895</v>
      </c>
      <c r="R76" s="266">
        <f t="shared" si="31"/>
        <v>44706.588979905595</v>
      </c>
      <c r="S76" s="266">
        <f t="shared" si="32"/>
        <v>8047.1860163830079</v>
      </c>
      <c r="T76" s="266">
        <f t="shared" si="33"/>
        <v>1287.5497626212814</v>
      </c>
      <c r="U76" s="266">
        <f t="shared" si="34"/>
        <v>2873.995005851074</v>
      </c>
      <c r="V76" s="266">
        <f t="shared" si="35"/>
        <v>1583.5712482239419</v>
      </c>
      <c r="W76" s="435"/>
      <c r="X76" s="317">
        <f t="shared" si="66"/>
        <v>0</v>
      </c>
      <c r="Y76" s="317">
        <f t="shared" si="67"/>
        <v>0</v>
      </c>
      <c r="Z76" s="317">
        <f t="shared" si="68"/>
        <v>0</v>
      </c>
      <c r="AA76" s="347">
        <f t="shared" si="36"/>
        <v>0</v>
      </c>
      <c r="AB76" s="309"/>
      <c r="AC76" s="132"/>
      <c r="AD76" s="136"/>
      <c r="AE76" s="136"/>
      <c r="AF76" s="136"/>
      <c r="AG76" s="13">
        <f t="shared" si="37"/>
        <v>38</v>
      </c>
      <c r="AH76" s="14">
        <f t="shared" ref="AH76:AH86" si="80">AH75</f>
        <v>5574967.8558</v>
      </c>
      <c r="AI76" s="44">
        <f t="shared" si="44"/>
        <v>39</v>
      </c>
      <c r="AJ76" s="55">
        <f>AJ75</f>
        <v>4724428.7999999998</v>
      </c>
      <c r="AK76" s="59">
        <v>2</v>
      </c>
      <c r="AL76" s="44">
        <f t="shared" si="46"/>
        <v>39</v>
      </c>
      <c r="AM76" s="45">
        <f t="shared" si="39"/>
        <v>48081.824238933325</v>
      </c>
      <c r="AN76" s="44">
        <f t="shared" si="54"/>
        <v>99</v>
      </c>
      <c r="AO76" s="45">
        <f t="shared" si="5"/>
        <v>58498.891012984895</v>
      </c>
      <c r="AP76"/>
      <c r="AQ76" s="46">
        <f t="shared" si="47"/>
        <v>39</v>
      </c>
      <c r="AR76" s="47">
        <f t="shared" si="40"/>
        <v>33919.299037866665</v>
      </c>
      <c r="AS76" s="46">
        <f t="shared" si="55"/>
        <v>99</v>
      </c>
      <c r="AT76" s="47">
        <f t="shared" si="6"/>
        <v>41268.013621794002</v>
      </c>
      <c r="AV76" s="41">
        <f t="shared" si="69"/>
        <v>0</v>
      </c>
      <c r="AW76" s="41">
        <f t="shared" si="70"/>
        <v>0</v>
      </c>
      <c r="AX76" s="43">
        <f t="shared" si="9"/>
        <v>0</v>
      </c>
      <c r="AY76" s="43">
        <f t="shared" si="10"/>
        <v>0</v>
      </c>
      <c r="AZ76" s="11"/>
      <c r="BA76" s="36">
        <f t="shared" si="76"/>
        <v>39</v>
      </c>
      <c r="BB76" s="35">
        <f t="shared" si="57"/>
        <v>48081.824238933325</v>
      </c>
      <c r="BC76" s="120"/>
      <c r="BD76" s="307">
        <f t="shared" si="77"/>
        <v>39</v>
      </c>
      <c r="BE76" s="303">
        <f t="shared" si="78"/>
        <v>33919.299037866665</v>
      </c>
      <c r="BF76" s="208"/>
      <c r="BG76" s="37">
        <f t="shared" si="50"/>
        <v>39</v>
      </c>
      <c r="BH76" s="8">
        <f t="shared" si="71"/>
        <v>383.62361855999995</v>
      </c>
      <c r="BI76" s="8"/>
      <c r="BJ76" s="37">
        <f t="shared" si="51"/>
        <v>39</v>
      </c>
      <c r="BK76" s="8">
        <f t="shared" si="72"/>
        <v>0</v>
      </c>
      <c r="BL76" s="8"/>
      <c r="BM76" s="4">
        <v>38</v>
      </c>
      <c r="BN76" s="14">
        <f t="shared" si="14"/>
        <v>30972.043643333334</v>
      </c>
      <c r="BO76" s="14">
        <f t="shared" si="73"/>
        <v>7804.9549981199998</v>
      </c>
      <c r="BP76" s="14">
        <f t="shared" si="42"/>
        <v>1248.7927996992</v>
      </c>
      <c r="BQ76" s="14">
        <f t="shared" si="16"/>
        <v>2787.4839279000003</v>
      </c>
      <c r="BR76" s="38">
        <f t="shared" si="74"/>
        <v>42813.275369052535</v>
      </c>
      <c r="BT76" s="4">
        <v>38</v>
      </c>
      <c r="BU76" s="14">
        <f>SUM(BN$39:BN76)</f>
        <v>987848.36728666653</v>
      </c>
      <c r="BV76" s="14">
        <f>SUM(BO$39:BO76)</f>
        <v>248937.78855624009</v>
      </c>
      <c r="BW76" s="14">
        <f>SUM(BP$39:BP76)</f>
        <v>39830.046168998415</v>
      </c>
      <c r="BX76" s="14">
        <f>SUM(BQ$39:BQ76)</f>
        <v>88906.353055800049</v>
      </c>
      <c r="BY76" s="21">
        <f>SUM(BR$39:BR76)</f>
        <v>1365522.5550677043</v>
      </c>
    </row>
    <row r="77" spans="1:77" ht="18" customHeight="1" x14ac:dyDescent="0.25">
      <c r="A77" s="268"/>
      <c r="B77" s="267">
        <f t="shared" si="52"/>
        <v>39</v>
      </c>
      <c r="C77" s="264">
        <f t="shared" si="43"/>
        <v>40</v>
      </c>
      <c r="D77" s="265">
        <f t="shared" si="19"/>
        <v>48081.824238933325</v>
      </c>
      <c r="E77" s="266">
        <f t="shared" si="20"/>
        <v>36745.55733333333</v>
      </c>
      <c r="F77" s="266">
        <f t="shared" si="59"/>
        <v>6614.2003199999999</v>
      </c>
      <c r="G77" s="266">
        <f t="shared" si="22"/>
        <v>1058.2720512000001</v>
      </c>
      <c r="H77" s="266">
        <f t="shared" si="23"/>
        <v>2362.2143999999998</v>
      </c>
      <c r="I77" s="266">
        <f t="shared" si="24"/>
        <v>1301.5801344000001</v>
      </c>
      <c r="J77" s="435"/>
      <c r="K77" s="317">
        <f t="shared" si="25"/>
        <v>0</v>
      </c>
      <c r="L77" s="317">
        <f t="shared" si="79"/>
        <v>0</v>
      </c>
      <c r="M77" s="317">
        <f t="shared" si="27"/>
        <v>0</v>
      </c>
      <c r="N77" s="347">
        <f t="shared" si="28"/>
        <v>0</v>
      </c>
      <c r="O77" s="267">
        <f t="shared" si="53"/>
        <v>99</v>
      </c>
      <c r="P77" s="264">
        <f t="shared" si="75"/>
        <v>100</v>
      </c>
      <c r="Q77" s="265">
        <f t="shared" si="30"/>
        <v>58498.891012984895</v>
      </c>
      <c r="R77" s="266">
        <f t="shared" si="31"/>
        <v>44706.588979905595</v>
      </c>
      <c r="S77" s="266">
        <f t="shared" si="32"/>
        <v>8047.1860163830079</v>
      </c>
      <c r="T77" s="266">
        <f t="shared" si="33"/>
        <v>1287.5497626212814</v>
      </c>
      <c r="U77" s="266">
        <f t="shared" si="34"/>
        <v>2873.995005851074</v>
      </c>
      <c r="V77" s="266">
        <f t="shared" si="35"/>
        <v>1583.5712482239419</v>
      </c>
      <c r="W77" s="435"/>
      <c r="X77" s="317">
        <f t="shared" si="66"/>
        <v>0</v>
      </c>
      <c r="Y77" s="317">
        <f t="shared" si="67"/>
        <v>0</v>
      </c>
      <c r="Z77" s="317">
        <f t="shared" si="68"/>
        <v>0</v>
      </c>
      <c r="AA77" s="347">
        <f t="shared" si="36"/>
        <v>0</v>
      </c>
      <c r="AB77" s="309"/>
      <c r="AC77" s="132"/>
      <c r="AD77" s="136"/>
      <c r="AE77" s="136"/>
      <c r="AF77" s="132"/>
      <c r="AG77" s="13">
        <f t="shared" si="37"/>
        <v>39</v>
      </c>
      <c r="AH77" s="14">
        <f t="shared" si="80"/>
        <v>5574967.8558</v>
      </c>
      <c r="AI77" s="44">
        <f t="shared" si="44"/>
        <v>40</v>
      </c>
      <c r="AJ77" s="55">
        <f t="shared" ref="AJ77:AJ86" si="81">AJ76</f>
        <v>4724428.7999999998</v>
      </c>
      <c r="AK77" s="59">
        <v>3</v>
      </c>
      <c r="AL77" s="44">
        <f t="shared" si="46"/>
        <v>40</v>
      </c>
      <c r="AM77" s="45">
        <f t="shared" si="39"/>
        <v>48081.824238933325</v>
      </c>
      <c r="AN77" s="44">
        <f t="shared" si="54"/>
        <v>100</v>
      </c>
      <c r="AO77" s="45">
        <f t="shared" si="5"/>
        <v>58498.891012984895</v>
      </c>
      <c r="AP77"/>
      <c r="AQ77" s="46">
        <f t="shared" si="47"/>
        <v>40</v>
      </c>
      <c r="AR77" s="47">
        <f t="shared" si="40"/>
        <v>33919.299037866665</v>
      </c>
      <c r="AS77" s="46">
        <f t="shared" si="55"/>
        <v>100</v>
      </c>
      <c r="AT77" s="47">
        <f t="shared" si="6"/>
        <v>41268.013621794002</v>
      </c>
      <c r="AV77" s="41">
        <f t="shared" si="69"/>
        <v>0</v>
      </c>
      <c r="AW77" s="41">
        <f t="shared" si="70"/>
        <v>0</v>
      </c>
      <c r="AX77" s="43">
        <f t="shared" si="9"/>
        <v>0</v>
      </c>
      <c r="AY77" s="43">
        <f t="shared" si="10"/>
        <v>0</v>
      </c>
      <c r="AZ77" s="11"/>
      <c r="BA77" s="36">
        <f t="shared" si="76"/>
        <v>40</v>
      </c>
      <c r="BB77" s="35">
        <f t="shared" si="57"/>
        <v>48081.824238933325</v>
      </c>
      <c r="BC77" s="120"/>
      <c r="BD77" s="307">
        <f t="shared" si="77"/>
        <v>40</v>
      </c>
      <c r="BE77" s="303">
        <f t="shared" si="78"/>
        <v>33919.299037866665</v>
      </c>
      <c r="BF77" s="208"/>
      <c r="BG77" s="37">
        <f t="shared" si="50"/>
        <v>40</v>
      </c>
      <c r="BH77" s="8">
        <f t="shared" si="71"/>
        <v>383.62361855999995</v>
      </c>
      <c r="BI77" s="8"/>
      <c r="BJ77" s="37">
        <f t="shared" si="51"/>
        <v>40</v>
      </c>
      <c r="BK77" s="8">
        <f t="shared" si="72"/>
        <v>0</v>
      </c>
      <c r="BL77" s="8"/>
      <c r="BM77" s="4">
        <v>39</v>
      </c>
      <c r="BN77" s="14">
        <f t="shared" si="14"/>
        <v>30972.043643333334</v>
      </c>
      <c r="BO77" s="14">
        <f t="shared" si="73"/>
        <v>7804.9549981199998</v>
      </c>
      <c r="BP77" s="14">
        <f t="shared" si="42"/>
        <v>1248.7927996992</v>
      </c>
      <c r="BQ77" s="14">
        <f t="shared" si="16"/>
        <v>2787.4839279000003</v>
      </c>
      <c r="BR77" s="38">
        <f t="shared" si="74"/>
        <v>42813.275369052535</v>
      </c>
      <c r="BT77" s="4">
        <v>39</v>
      </c>
      <c r="BU77" s="14">
        <f>SUM(BN$39:BN77)</f>
        <v>1018820.4109299999</v>
      </c>
      <c r="BV77" s="14">
        <f>SUM(BO$39:BO77)</f>
        <v>256742.74355436009</v>
      </c>
      <c r="BW77" s="14">
        <f>SUM(BP$39:BP77)</f>
        <v>41078.838968697615</v>
      </c>
      <c r="BX77" s="14">
        <f>SUM(BQ$39:BQ77)</f>
        <v>91693.83698370005</v>
      </c>
      <c r="BY77" s="21">
        <f>SUM(BR$39:BR77)</f>
        <v>1408335.8304367568</v>
      </c>
    </row>
    <row r="78" spans="1:77" ht="18" customHeight="1" x14ac:dyDescent="0.25">
      <c r="A78" s="268"/>
      <c r="B78" s="267">
        <f t="shared" si="52"/>
        <v>40</v>
      </c>
      <c r="C78" s="264">
        <f t="shared" si="43"/>
        <v>41</v>
      </c>
      <c r="D78" s="265">
        <f t="shared" si="19"/>
        <v>48081.824238933325</v>
      </c>
      <c r="E78" s="266">
        <f t="shared" si="20"/>
        <v>36745.55733333333</v>
      </c>
      <c r="F78" s="266">
        <f t="shared" si="59"/>
        <v>6614.2003199999999</v>
      </c>
      <c r="G78" s="266">
        <f t="shared" si="22"/>
        <v>1058.2720512000001</v>
      </c>
      <c r="H78" s="266">
        <f t="shared" si="23"/>
        <v>2362.2143999999998</v>
      </c>
      <c r="I78" s="266">
        <f t="shared" si="24"/>
        <v>1301.5801344000001</v>
      </c>
      <c r="J78" s="435"/>
      <c r="K78" s="317">
        <f t="shared" si="25"/>
        <v>0</v>
      </c>
      <c r="L78" s="317">
        <f t="shared" si="79"/>
        <v>0</v>
      </c>
      <c r="M78" s="317">
        <f t="shared" si="27"/>
        <v>0</v>
      </c>
      <c r="N78" s="347">
        <f t="shared" si="28"/>
        <v>0</v>
      </c>
      <c r="O78" s="267">
        <f t="shared" si="53"/>
        <v>100</v>
      </c>
      <c r="P78" s="264">
        <f t="shared" si="75"/>
        <v>101</v>
      </c>
      <c r="Q78" s="265">
        <f t="shared" si="30"/>
        <v>58498.891012984895</v>
      </c>
      <c r="R78" s="266">
        <f t="shared" si="31"/>
        <v>44706.588979905595</v>
      </c>
      <c r="S78" s="266">
        <f t="shared" si="32"/>
        <v>8047.1860163830079</v>
      </c>
      <c r="T78" s="266">
        <f t="shared" si="33"/>
        <v>1287.5497626212814</v>
      </c>
      <c r="U78" s="266">
        <f t="shared" si="34"/>
        <v>2873.995005851074</v>
      </c>
      <c r="V78" s="266">
        <f t="shared" si="35"/>
        <v>1583.5712482239419</v>
      </c>
      <c r="W78" s="435"/>
      <c r="X78" s="317">
        <f t="shared" si="66"/>
        <v>0</v>
      </c>
      <c r="Y78" s="317">
        <f t="shared" si="67"/>
        <v>0</v>
      </c>
      <c r="Z78" s="317">
        <f t="shared" si="68"/>
        <v>0</v>
      </c>
      <c r="AA78" s="347">
        <f t="shared" si="36"/>
        <v>0</v>
      </c>
      <c r="AB78" s="309"/>
      <c r="AC78" s="132"/>
      <c r="AD78" s="136"/>
      <c r="AE78" s="136"/>
      <c r="AF78" s="132"/>
      <c r="AG78" s="13">
        <f t="shared" si="37"/>
        <v>40</v>
      </c>
      <c r="AH78" s="14">
        <f t="shared" si="80"/>
        <v>5574967.8558</v>
      </c>
      <c r="AI78" s="44">
        <f t="shared" si="44"/>
        <v>41</v>
      </c>
      <c r="AJ78" s="55">
        <f t="shared" si="81"/>
        <v>4724428.7999999998</v>
      </c>
      <c r="AK78" s="59">
        <v>4</v>
      </c>
      <c r="AL78" s="44">
        <f t="shared" si="46"/>
        <v>41</v>
      </c>
      <c r="AM78" s="45">
        <f t="shared" si="39"/>
        <v>48081.824238933325</v>
      </c>
      <c r="AN78" s="44">
        <f t="shared" si="54"/>
        <v>101</v>
      </c>
      <c r="AO78" s="45">
        <f t="shared" si="5"/>
        <v>58498.891012984895</v>
      </c>
      <c r="AP78"/>
      <c r="AQ78" s="46">
        <f t="shared" si="47"/>
        <v>41</v>
      </c>
      <c r="AR78" s="47">
        <f t="shared" si="40"/>
        <v>33919.299037866665</v>
      </c>
      <c r="AS78" s="46">
        <f t="shared" si="55"/>
        <v>101</v>
      </c>
      <c r="AT78" s="47">
        <f t="shared" si="6"/>
        <v>41268.013621794002</v>
      </c>
      <c r="AV78" s="41">
        <f t="shared" si="69"/>
        <v>0</v>
      </c>
      <c r="AW78" s="41">
        <f t="shared" si="70"/>
        <v>0</v>
      </c>
      <c r="AX78" s="43">
        <f t="shared" si="9"/>
        <v>0</v>
      </c>
      <c r="AY78" s="43">
        <f t="shared" si="10"/>
        <v>0</v>
      </c>
      <c r="AZ78" s="11"/>
      <c r="BA78" s="36">
        <f t="shared" si="76"/>
        <v>41</v>
      </c>
      <c r="BB78" s="35">
        <f t="shared" si="57"/>
        <v>48081.824238933325</v>
      </c>
      <c r="BC78" s="120"/>
      <c r="BD78" s="307">
        <f t="shared" si="77"/>
        <v>41</v>
      </c>
      <c r="BE78" s="303">
        <f t="shared" si="78"/>
        <v>33919.299037866665</v>
      </c>
      <c r="BF78" s="208"/>
      <c r="BG78" s="37">
        <f t="shared" si="50"/>
        <v>41</v>
      </c>
      <c r="BH78" s="8">
        <f t="shared" si="71"/>
        <v>383.62361855999995</v>
      </c>
      <c r="BI78" s="8"/>
      <c r="BJ78" s="37">
        <f t="shared" si="51"/>
        <v>41</v>
      </c>
      <c r="BK78" s="8">
        <f t="shared" si="72"/>
        <v>0</v>
      </c>
      <c r="BL78" s="8"/>
      <c r="BM78" s="4">
        <v>40</v>
      </c>
      <c r="BN78" s="14">
        <f t="shared" si="14"/>
        <v>30972.043643333334</v>
      </c>
      <c r="BO78" s="14">
        <f t="shared" si="73"/>
        <v>7804.9549981199998</v>
      </c>
      <c r="BP78" s="14">
        <f t="shared" si="42"/>
        <v>1248.7927996992</v>
      </c>
      <c r="BQ78" s="14">
        <f t="shared" si="16"/>
        <v>2787.4839279000003</v>
      </c>
      <c r="BR78" s="38">
        <f t="shared" si="74"/>
        <v>42813.275369052535</v>
      </c>
      <c r="BT78" s="4">
        <v>40</v>
      </c>
      <c r="BU78" s="14">
        <f>SUM(BN$39:BN78)</f>
        <v>1049792.4545733333</v>
      </c>
      <c r="BV78" s="14">
        <f>SUM(BO$39:BO78)</f>
        <v>264547.69855248008</v>
      </c>
      <c r="BW78" s="14">
        <f>SUM(BP$39:BP78)</f>
        <v>42327.631768396815</v>
      </c>
      <c r="BX78" s="14">
        <f>SUM(BQ$39:BQ78)</f>
        <v>94481.320911600051</v>
      </c>
      <c r="BY78" s="21">
        <f>SUM(BR$39:BR78)</f>
        <v>1451149.1058058094</v>
      </c>
    </row>
    <row r="79" spans="1:77" ht="18" customHeight="1" x14ac:dyDescent="0.25">
      <c r="A79" s="268"/>
      <c r="B79" s="267">
        <f t="shared" si="52"/>
        <v>41</v>
      </c>
      <c r="C79" s="264">
        <f t="shared" si="43"/>
        <v>42</v>
      </c>
      <c r="D79" s="265">
        <f t="shared" si="19"/>
        <v>48081.824238933325</v>
      </c>
      <c r="E79" s="266">
        <f t="shared" si="20"/>
        <v>36745.55733333333</v>
      </c>
      <c r="F79" s="266">
        <f t="shared" si="59"/>
        <v>6614.2003199999999</v>
      </c>
      <c r="G79" s="266">
        <f t="shared" si="22"/>
        <v>1058.2720512000001</v>
      </c>
      <c r="H79" s="266">
        <f t="shared" si="23"/>
        <v>2362.2143999999998</v>
      </c>
      <c r="I79" s="266">
        <f t="shared" si="24"/>
        <v>1301.5801344000001</v>
      </c>
      <c r="J79" s="435"/>
      <c r="K79" s="317">
        <f t="shared" si="25"/>
        <v>0</v>
      </c>
      <c r="L79" s="317">
        <f t="shared" si="79"/>
        <v>0</v>
      </c>
      <c r="M79" s="317">
        <f t="shared" si="27"/>
        <v>0</v>
      </c>
      <c r="N79" s="347">
        <f t="shared" si="28"/>
        <v>0</v>
      </c>
      <c r="O79" s="267">
        <f t="shared" si="53"/>
        <v>101</v>
      </c>
      <c r="P79" s="264">
        <f t="shared" si="75"/>
        <v>102</v>
      </c>
      <c r="Q79" s="265">
        <f t="shared" si="30"/>
        <v>58498.891012984895</v>
      </c>
      <c r="R79" s="266">
        <f t="shared" si="31"/>
        <v>44706.588979905595</v>
      </c>
      <c r="S79" s="266">
        <f t="shared" si="32"/>
        <v>8047.1860163830079</v>
      </c>
      <c r="T79" s="266">
        <f t="shared" si="33"/>
        <v>1287.5497626212814</v>
      </c>
      <c r="U79" s="266">
        <f t="shared" si="34"/>
        <v>2873.995005851074</v>
      </c>
      <c r="V79" s="266">
        <f t="shared" si="35"/>
        <v>1583.5712482239419</v>
      </c>
      <c r="W79" s="435"/>
      <c r="X79" s="317">
        <f t="shared" si="66"/>
        <v>0</v>
      </c>
      <c r="Y79" s="317">
        <f t="shared" si="67"/>
        <v>0</v>
      </c>
      <c r="Z79" s="317">
        <f t="shared" si="68"/>
        <v>0</v>
      </c>
      <c r="AA79" s="347">
        <f t="shared" si="36"/>
        <v>0</v>
      </c>
      <c r="AB79" s="309"/>
      <c r="AC79" s="132"/>
      <c r="AD79" s="136"/>
      <c r="AE79" s="136"/>
      <c r="AF79" s="132"/>
      <c r="AG79" s="13">
        <f t="shared" si="37"/>
        <v>41</v>
      </c>
      <c r="AH79" s="14">
        <f t="shared" si="80"/>
        <v>5574967.8558</v>
      </c>
      <c r="AI79" s="44">
        <f t="shared" si="44"/>
        <v>42</v>
      </c>
      <c r="AJ79" s="55">
        <f t="shared" si="81"/>
        <v>4724428.7999999998</v>
      </c>
      <c r="AK79" s="59">
        <v>5</v>
      </c>
      <c r="AL79" s="44">
        <f t="shared" si="46"/>
        <v>42</v>
      </c>
      <c r="AM79" s="45">
        <f t="shared" si="39"/>
        <v>48081.824238933325</v>
      </c>
      <c r="AN79" s="44">
        <f t="shared" si="54"/>
        <v>102</v>
      </c>
      <c r="AO79" s="45">
        <f t="shared" si="5"/>
        <v>58498.891012984895</v>
      </c>
      <c r="AP79"/>
      <c r="AQ79" s="46">
        <f t="shared" si="47"/>
        <v>42</v>
      </c>
      <c r="AR79" s="47">
        <f t="shared" si="40"/>
        <v>33919.299037866665</v>
      </c>
      <c r="AS79" s="46">
        <f t="shared" si="55"/>
        <v>102</v>
      </c>
      <c r="AT79" s="47">
        <f t="shared" si="6"/>
        <v>41268.013621794002</v>
      </c>
      <c r="AV79" s="41">
        <f t="shared" si="69"/>
        <v>0</v>
      </c>
      <c r="AW79" s="41">
        <f t="shared" si="70"/>
        <v>0</v>
      </c>
      <c r="AX79" s="43">
        <f t="shared" si="9"/>
        <v>0</v>
      </c>
      <c r="AY79" s="43">
        <f t="shared" si="10"/>
        <v>0</v>
      </c>
      <c r="AZ79" s="11"/>
      <c r="BA79" s="36">
        <f t="shared" si="76"/>
        <v>42</v>
      </c>
      <c r="BB79" s="35">
        <f t="shared" si="57"/>
        <v>48081.824238933325</v>
      </c>
      <c r="BC79" s="120"/>
      <c r="BD79" s="307">
        <f t="shared" si="77"/>
        <v>42</v>
      </c>
      <c r="BE79" s="303">
        <f t="shared" si="78"/>
        <v>33919.299037866665</v>
      </c>
      <c r="BF79" s="208"/>
      <c r="BG79" s="37">
        <f t="shared" si="50"/>
        <v>42</v>
      </c>
      <c r="BH79" s="8">
        <f t="shared" si="71"/>
        <v>383.62361855999995</v>
      </c>
      <c r="BI79" s="8"/>
      <c r="BJ79" s="37">
        <f t="shared" si="51"/>
        <v>42</v>
      </c>
      <c r="BK79" s="8">
        <f t="shared" si="72"/>
        <v>0</v>
      </c>
      <c r="BL79" s="8"/>
      <c r="BM79" s="4">
        <v>41</v>
      </c>
      <c r="BN79" s="14">
        <f t="shared" si="14"/>
        <v>30972.043643333334</v>
      </c>
      <c r="BO79" s="14">
        <f t="shared" si="73"/>
        <v>7804.9549981199998</v>
      </c>
      <c r="BP79" s="14">
        <f t="shared" si="42"/>
        <v>1248.7927996992</v>
      </c>
      <c r="BQ79" s="14">
        <f t="shared" si="16"/>
        <v>2787.4839279000003</v>
      </c>
      <c r="BR79" s="38">
        <f t="shared" si="74"/>
        <v>42813.275369052535</v>
      </c>
      <c r="BT79" s="4">
        <v>41</v>
      </c>
      <c r="BU79" s="14">
        <f>SUM(BN$39:BN79)</f>
        <v>1080764.4982166665</v>
      </c>
      <c r="BV79" s="14">
        <f>SUM(BO$39:BO79)</f>
        <v>272352.65355060011</v>
      </c>
      <c r="BW79" s="14">
        <f>SUM(BP$39:BP79)</f>
        <v>43576.424568096016</v>
      </c>
      <c r="BX79" s="14">
        <f>SUM(BQ$39:BQ79)</f>
        <v>97268.804839500051</v>
      </c>
      <c r="BY79" s="21">
        <f>SUM(BR$39:BR79)</f>
        <v>1493962.3811748619</v>
      </c>
    </row>
    <row r="80" spans="1:77" ht="18" customHeight="1" x14ac:dyDescent="0.25">
      <c r="A80" s="268"/>
      <c r="B80" s="267">
        <f t="shared" si="52"/>
        <v>42</v>
      </c>
      <c r="C80" s="264">
        <f t="shared" si="43"/>
        <v>43</v>
      </c>
      <c r="D80" s="265">
        <f t="shared" si="19"/>
        <v>48081.824238933325</v>
      </c>
      <c r="E80" s="266">
        <f t="shared" si="20"/>
        <v>36745.55733333333</v>
      </c>
      <c r="F80" s="266">
        <f t="shared" si="59"/>
        <v>6614.2003199999999</v>
      </c>
      <c r="G80" s="266">
        <f t="shared" si="22"/>
        <v>1058.2720512000001</v>
      </c>
      <c r="H80" s="266">
        <f t="shared" si="23"/>
        <v>2362.2143999999998</v>
      </c>
      <c r="I80" s="266">
        <f t="shared" si="24"/>
        <v>1301.5801344000001</v>
      </c>
      <c r="J80" s="435"/>
      <c r="K80" s="317">
        <f t="shared" si="25"/>
        <v>0</v>
      </c>
      <c r="L80" s="317">
        <f t="shared" si="79"/>
        <v>0</v>
      </c>
      <c r="M80" s="317">
        <f t="shared" si="27"/>
        <v>0</v>
      </c>
      <c r="N80" s="347">
        <f t="shared" si="28"/>
        <v>0</v>
      </c>
      <c r="O80" s="267">
        <f t="shared" si="53"/>
        <v>102</v>
      </c>
      <c r="P80" s="264">
        <f t="shared" si="75"/>
        <v>103</v>
      </c>
      <c r="Q80" s="265">
        <f t="shared" si="30"/>
        <v>58498.891012984895</v>
      </c>
      <c r="R80" s="266">
        <f t="shared" si="31"/>
        <v>44706.588979905595</v>
      </c>
      <c r="S80" s="266">
        <f t="shared" si="32"/>
        <v>8047.1860163830079</v>
      </c>
      <c r="T80" s="266">
        <f t="shared" si="33"/>
        <v>1287.5497626212814</v>
      </c>
      <c r="U80" s="266">
        <f t="shared" si="34"/>
        <v>2873.995005851074</v>
      </c>
      <c r="V80" s="266">
        <f t="shared" si="35"/>
        <v>1583.5712482239419</v>
      </c>
      <c r="W80" s="435"/>
      <c r="X80" s="317">
        <f t="shared" si="66"/>
        <v>0</v>
      </c>
      <c r="Y80" s="317">
        <f t="shared" si="67"/>
        <v>0</v>
      </c>
      <c r="Z80" s="317">
        <f t="shared" si="68"/>
        <v>0</v>
      </c>
      <c r="AA80" s="347">
        <f t="shared" si="36"/>
        <v>0</v>
      </c>
      <c r="AB80" s="309"/>
      <c r="AC80" s="132"/>
      <c r="AD80" s="136"/>
      <c r="AE80" s="136"/>
      <c r="AF80" s="132"/>
      <c r="AG80" s="13">
        <f t="shared" si="37"/>
        <v>42</v>
      </c>
      <c r="AH80" s="14">
        <f t="shared" si="80"/>
        <v>5574967.8558</v>
      </c>
      <c r="AI80" s="44">
        <f t="shared" si="44"/>
        <v>43</v>
      </c>
      <c r="AJ80" s="55">
        <f t="shared" si="81"/>
        <v>4724428.7999999998</v>
      </c>
      <c r="AK80" s="59">
        <v>6</v>
      </c>
      <c r="AL80" s="44">
        <f t="shared" si="46"/>
        <v>43</v>
      </c>
      <c r="AM80" s="45">
        <f t="shared" si="39"/>
        <v>48081.824238933325</v>
      </c>
      <c r="AN80" s="44">
        <f t="shared" si="54"/>
        <v>103</v>
      </c>
      <c r="AO80" s="45">
        <f t="shared" si="5"/>
        <v>58498.891012984895</v>
      </c>
      <c r="AP80" s="3"/>
      <c r="AQ80" s="46">
        <f t="shared" si="47"/>
        <v>43</v>
      </c>
      <c r="AR80" s="47">
        <f t="shared" si="40"/>
        <v>33919.299037866665</v>
      </c>
      <c r="AS80" s="46">
        <f t="shared" si="55"/>
        <v>103</v>
      </c>
      <c r="AT80" s="47">
        <f t="shared" si="6"/>
        <v>41268.013621794002</v>
      </c>
      <c r="AV80" s="41">
        <f t="shared" si="69"/>
        <v>0</v>
      </c>
      <c r="AW80" s="41">
        <f t="shared" si="70"/>
        <v>0</v>
      </c>
      <c r="AX80" s="43">
        <f t="shared" si="9"/>
        <v>0</v>
      </c>
      <c r="AY80" s="43">
        <f t="shared" si="10"/>
        <v>0</v>
      </c>
      <c r="AZ80" s="11"/>
      <c r="BA80" s="36">
        <f t="shared" si="76"/>
        <v>43</v>
      </c>
      <c r="BB80" s="35">
        <f t="shared" si="57"/>
        <v>48081.824238933325</v>
      </c>
      <c r="BC80" s="120"/>
      <c r="BD80" s="307">
        <f t="shared" si="77"/>
        <v>43</v>
      </c>
      <c r="BE80" s="303">
        <f t="shared" si="78"/>
        <v>33919.299037866665</v>
      </c>
      <c r="BF80" s="208"/>
      <c r="BG80" s="37">
        <f t="shared" si="50"/>
        <v>43</v>
      </c>
      <c r="BH80" s="8">
        <f t="shared" si="71"/>
        <v>383.62361855999995</v>
      </c>
      <c r="BI80" s="8"/>
      <c r="BJ80" s="37">
        <f t="shared" si="51"/>
        <v>43</v>
      </c>
      <c r="BK80" s="8">
        <f t="shared" si="72"/>
        <v>0</v>
      </c>
      <c r="BL80" s="8"/>
      <c r="BM80" s="4">
        <v>42</v>
      </c>
      <c r="BN80" s="14">
        <f t="shared" si="14"/>
        <v>30972.043643333334</v>
      </c>
      <c r="BO80" s="14">
        <f t="shared" si="73"/>
        <v>7804.9549981199998</v>
      </c>
      <c r="BP80" s="14">
        <f t="shared" si="42"/>
        <v>1248.7927996992</v>
      </c>
      <c r="BQ80" s="14">
        <f t="shared" si="16"/>
        <v>2787.4839279000003</v>
      </c>
      <c r="BR80" s="38">
        <f t="shared" si="74"/>
        <v>42813.275369052535</v>
      </c>
      <c r="BT80" s="4">
        <v>42</v>
      </c>
      <c r="BU80" s="14">
        <f>SUM(BN$39:BN80)</f>
        <v>1111736.5418599998</v>
      </c>
      <c r="BV80" s="14">
        <f>SUM(BO$39:BO80)</f>
        <v>280157.60854872013</v>
      </c>
      <c r="BW80" s="14">
        <f>SUM(BP$39:BP80)</f>
        <v>44825.217367795216</v>
      </c>
      <c r="BX80" s="14">
        <f>SUM(BQ$39:BQ80)</f>
        <v>100056.28876740005</v>
      </c>
      <c r="BY80" s="21">
        <f>SUM(BR$39:BR80)</f>
        <v>1536775.6565439145</v>
      </c>
    </row>
    <row r="81" spans="1:77" ht="18" customHeight="1" x14ac:dyDescent="0.25">
      <c r="A81" s="268"/>
      <c r="B81" s="267">
        <f t="shared" si="52"/>
        <v>43</v>
      </c>
      <c r="C81" s="264">
        <f t="shared" si="43"/>
        <v>44</v>
      </c>
      <c r="D81" s="265">
        <f t="shared" si="19"/>
        <v>48081.824238933325</v>
      </c>
      <c r="E81" s="266">
        <f t="shared" si="20"/>
        <v>36745.55733333333</v>
      </c>
      <c r="F81" s="266">
        <f t="shared" si="59"/>
        <v>6614.2003199999999</v>
      </c>
      <c r="G81" s="266">
        <f t="shared" si="22"/>
        <v>1058.2720512000001</v>
      </c>
      <c r="H81" s="266">
        <f t="shared" si="23"/>
        <v>2362.2143999999998</v>
      </c>
      <c r="I81" s="266">
        <f t="shared" si="24"/>
        <v>1301.5801344000001</v>
      </c>
      <c r="J81" s="435"/>
      <c r="K81" s="317">
        <f t="shared" si="25"/>
        <v>0</v>
      </c>
      <c r="L81" s="317">
        <f t="shared" si="79"/>
        <v>0</v>
      </c>
      <c r="M81" s="317">
        <f t="shared" si="27"/>
        <v>0</v>
      </c>
      <c r="N81" s="347">
        <f t="shared" si="28"/>
        <v>0</v>
      </c>
      <c r="O81" s="267">
        <f t="shared" si="53"/>
        <v>103</v>
      </c>
      <c r="P81" s="264">
        <f t="shared" si="75"/>
        <v>104</v>
      </c>
      <c r="Q81" s="265">
        <f t="shared" si="30"/>
        <v>58498.891012984895</v>
      </c>
      <c r="R81" s="266">
        <f t="shared" si="31"/>
        <v>44706.588979905595</v>
      </c>
      <c r="S81" s="266">
        <f t="shared" si="32"/>
        <v>8047.1860163830079</v>
      </c>
      <c r="T81" s="266">
        <f t="shared" si="33"/>
        <v>1287.5497626212814</v>
      </c>
      <c r="U81" s="266">
        <f t="shared" si="34"/>
        <v>2873.995005851074</v>
      </c>
      <c r="V81" s="266">
        <f t="shared" si="35"/>
        <v>1583.5712482239419</v>
      </c>
      <c r="W81" s="435"/>
      <c r="X81" s="317">
        <f t="shared" si="66"/>
        <v>0</v>
      </c>
      <c r="Y81" s="317">
        <f t="shared" si="67"/>
        <v>0</v>
      </c>
      <c r="Z81" s="317">
        <f t="shared" si="68"/>
        <v>0</v>
      </c>
      <c r="AA81" s="347">
        <f t="shared" si="36"/>
        <v>0</v>
      </c>
      <c r="AB81" s="309"/>
      <c r="AC81" s="132"/>
      <c r="AD81" s="136"/>
      <c r="AE81" s="136"/>
      <c r="AF81" s="132"/>
      <c r="AG81" s="13">
        <f t="shared" si="37"/>
        <v>43</v>
      </c>
      <c r="AH81" s="14">
        <f t="shared" si="80"/>
        <v>5574967.8558</v>
      </c>
      <c r="AI81" s="44">
        <f t="shared" si="44"/>
        <v>44</v>
      </c>
      <c r="AJ81" s="55">
        <f t="shared" si="81"/>
        <v>4724428.7999999998</v>
      </c>
      <c r="AK81" s="59">
        <v>7</v>
      </c>
      <c r="AL81" s="44">
        <f t="shared" si="46"/>
        <v>44</v>
      </c>
      <c r="AM81" s="45">
        <f t="shared" si="39"/>
        <v>48081.824238933325</v>
      </c>
      <c r="AN81" s="44">
        <f t="shared" si="54"/>
        <v>104</v>
      </c>
      <c r="AO81" s="45">
        <f t="shared" si="5"/>
        <v>58498.891012984895</v>
      </c>
      <c r="AP81" s="3"/>
      <c r="AQ81" s="46">
        <f t="shared" si="47"/>
        <v>44</v>
      </c>
      <c r="AR81" s="47">
        <f t="shared" si="40"/>
        <v>33919.299037866665</v>
      </c>
      <c r="AS81" s="46">
        <f t="shared" si="55"/>
        <v>104</v>
      </c>
      <c r="AT81" s="47">
        <f t="shared" si="6"/>
        <v>41268.013621794002</v>
      </c>
      <c r="AV81" s="41">
        <f t="shared" si="69"/>
        <v>0</v>
      </c>
      <c r="AW81" s="41">
        <f t="shared" si="70"/>
        <v>0</v>
      </c>
      <c r="AX81" s="43">
        <f t="shared" si="9"/>
        <v>0</v>
      </c>
      <c r="AY81" s="43">
        <f t="shared" si="10"/>
        <v>0</v>
      </c>
      <c r="AZ81" s="11"/>
      <c r="BA81" s="36">
        <f t="shared" si="76"/>
        <v>44</v>
      </c>
      <c r="BB81" s="35">
        <f t="shared" si="57"/>
        <v>48081.824238933325</v>
      </c>
      <c r="BC81" s="120"/>
      <c r="BD81" s="307">
        <f t="shared" si="77"/>
        <v>44</v>
      </c>
      <c r="BE81" s="303">
        <f t="shared" si="78"/>
        <v>33919.299037866665</v>
      </c>
      <c r="BF81" s="208"/>
      <c r="BG81" s="37">
        <f t="shared" si="50"/>
        <v>44</v>
      </c>
      <c r="BH81" s="8">
        <f t="shared" si="71"/>
        <v>383.62361855999995</v>
      </c>
      <c r="BI81" s="8"/>
      <c r="BJ81" s="37">
        <f t="shared" si="51"/>
        <v>44</v>
      </c>
      <c r="BK81" s="8">
        <f t="shared" si="72"/>
        <v>0</v>
      </c>
      <c r="BL81" s="8"/>
      <c r="BM81" s="4">
        <v>43</v>
      </c>
      <c r="BN81" s="14">
        <f t="shared" si="14"/>
        <v>30972.043643333334</v>
      </c>
      <c r="BO81" s="14">
        <f t="shared" si="73"/>
        <v>7804.9549981199998</v>
      </c>
      <c r="BP81" s="14">
        <f t="shared" si="42"/>
        <v>1248.7927996992</v>
      </c>
      <c r="BQ81" s="14">
        <f t="shared" si="16"/>
        <v>2787.4839279000003</v>
      </c>
      <c r="BR81" s="38">
        <f t="shared" si="74"/>
        <v>42813.275369052535</v>
      </c>
      <c r="BT81" s="4">
        <v>43</v>
      </c>
      <c r="BU81" s="14">
        <f>SUM(BN$39:BN81)</f>
        <v>1142708.585503333</v>
      </c>
      <c r="BV81" s="14">
        <f>SUM(BO$39:BO81)</f>
        <v>287962.56354684016</v>
      </c>
      <c r="BW81" s="14">
        <f>SUM(BP$39:BP81)</f>
        <v>46074.010167494416</v>
      </c>
      <c r="BX81" s="14">
        <f>SUM(BQ$39:BQ81)</f>
        <v>102843.77269530005</v>
      </c>
      <c r="BY81" s="21">
        <f>SUM(BR$39:BR81)</f>
        <v>1579588.931912967</v>
      </c>
    </row>
    <row r="82" spans="1:77" ht="18" customHeight="1" x14ac:dyDescent="0.25">
      <c r="A82" s="268"/>
      <c r="B82" s="267">
        <f t="shared" si="52"/>
        <v>44</v>
      </c>
      <c r="C82" s="264">
        <f t="shared" si="43"/>
        <v>45</v>
      </c>
      <c r="D82" s="265">
        <f t="shared" si="19"/>
        <v>48081.824238933325</v>
      </c>
      <c r="E82" s="266">
        <f t="shared" si="20"/>
        <v>36745.55733333333</v>
      </c>
      <c r="F82" s="266">
        <f t="shared" si="59"/>
        <v>6614.2003199999999</v>
      </c>
      <c r="G82" s="266">
        <f t="shared" si="22"/>
        <v>1058.2720512000001</v>
      </c>
      <c r="H82" s="266">
        <f t="shared" si="23"/>
        <v>2362.2143999999998</v>
      </c>
      <c r="I82" s="266">
        <f t="shared" si="24"/>
        <v>1301.5801344000001</v>
      </c>
      <c r="J82" s="435"/>
      <c r="K82" s="317">
        <f t="shared" si="25"/>
        <v>0</v>
      </c>
      <c r="L82" s="317">
        <f t="shared" si="79"/>
        <v>0</v>
      </c>
      <c r="M82" s="317">
        <f t="shared" si="27"/>
        <v>0</v>
      </c>
      <c r="N82" s="347">
        <f t="shared" si="28"/>
        <v>0</v>
      </c>
      <c r="O82" s="267">
        <f t="shared" si="53"/>
        <v>104</v>
      </c>
      <c r="P82" s="264">
        <f t="shared" si="75"/>
        <v>105</v>
      </c>
      <c r="Q82" s="265">
        <f t="shared" si="30"/>
        <v>58498.891012984895</v>
      </c>
      <c r="R82" s="266">
        <f t="shared" si="31"/>
        <v>44706.588979905595</v>
      </c>
      <c r="S82" s="266">
        <f t="shared" si="32"/>
        <v>8047.1860163830079</v>
      </c>
      <c r="T82" s="266">
        <f t="shared" si="33"/>
        <v>1287.5497626212814</v>
      </c>
      <c r="U82" s="266">
        <f t="shared" si="34"/>
        <v>2873.995005851074</v>
      </c>
      <c r="V82" s="266">
        <f t="shared" si="35"/>
        <v>1583.5712482239419</v>
      </c>
      <c r="W82" s="435"/>
      <c r="X82" s="317">
        <f t="shared" si="66"/>
        <v>0</v>
      </c>
      <c r="Y82" s="317">
        <f t="shared" si="67"/>
        <v>0</v>
      </c>
      <c r="Z82" s="317">
        <f t="shared" si="68"/>
        <v>0</v>
      </c>
      <c r="AA82" s="347">
        <f t="shared" si="36"/>
        <v>0</v>
      </c>
      <c r="AB82" s="309"/>
      <c r="AC82" s="132"/>
      <c r="AD82" s="136"/>
      <c r="AE82" s="136"/>
      <c r="AF82" s="132"/>
      <c r="AG82" s="13">
        <f t="shared" si="37"/>
        <v>44</v>
      </c>
      <c r="AH82" s="14">
        <f t="shared" si="80"/>
        <v>5574967.8558</v>
      </c>
      <c r="AI82" s="44">
        <f t="shared" si="44"/>
        <v>45</v>
      </c>
      <c r="AJ82" s="55">
        <f t="shared" si="81"/>
        <v>4724428.7999999998</v>
      </c>
      <c r="AK82" s="59">
        <v>8</v>
      </c>
      <c r="AL82" s="44">
        <f t="shared" si="46"/>
        <v>45</v>
      </c>
      <c r="AM82" s="45">
        <f t="shared" si="39"/>
        <v>48081.824238933325</v>
      </c>
      <c r="AN82" s="44">
        <f t="shared" si="54"/>
        <v>105</v>
      </c>
      <c r="AO82" s="45">
        <f t="shared" si="5"/>
        <v>58498.891012984895</v>
      </c>
      <c r="AP82" s="3"/>
      <c r="AQ82" s="46">
        <f t="shared" si="47"/>
        <v>45</v>
      </c>
      <c r="AR82" s="47">
        <f t="shared" si="40"/>
        <v>33919.299037866665</v>
      </c>
      <c r="AS82" s="46">
        <f t="shared" si="55"/>
        <v>105</v>
      </c>
      <c r="AT82" s="47">
        <f t="shared" si="6"/>
        <v>41268.013621794002</v>
      </c>
      <c r="AV82" s="41">
        <f t="shared" si="69"/>
        <v>0</v>
      </c>
      <c r="AW82" s="41">
        <f t="shared" si="70"/>
        <v>0</v>
      </c>
      <c r="AX82" s="43">
        <f t="shared" si="9"/>
        <v>0</v>
      </c>
      <c r="AY82" s="43">
        <f t="shared" si="10"/>
        <v>0</v>
      </c>
      <c r="AZ82" s="11"/>
      <c r="BA82" s="36">
        <f t="shared" si="76"/>
        <v>45</v>
      </c>
      <c r="BB82" s="35">
        <f t="shared" si="57"/>
        <v>48081.824238933325</v>
      </c>
      <c r="BC82" s="120"/>
      <c r="BD82" s="307">
        <f t="shared" si="77"/>
        <v>45</v>
      </c>
      <c r="BE82" s="303">
        <f t="shared" si="78"/>
        <v>33919.299037866665</v>
      </c>
      <c r="BF82" s="208"/>
      <c r="BG82" s="37">
        <f t="shared" si="50"/>
        <v>45</v>
      </c>
      <c r="BH82" s="8">
        <f t="shared" si="71"/>
        <v>383.62361855999995</v>
      </c>
      <c r="BI82" s="8"/>
      <c r="BJ82" s="37">
        <f t="shared" si="51"/>
        <v>45</v>
      </c>
      <c r="BK82" s="8">
        <f t="shared" si="72"/>
        <v>0</v>
      </c>
      <c r="BL82" s="8"/>
      <c r="BM82" s="4">
        <v>44</v>
      </c>
      <c r="BN82" s="14">
        <f t="shared" si="14"/>
        <v>30972.043643333334</v>
      </c>
      <c r="BO82" s="14">
        <f t="shared" si="73"/>
        <v>7804.9549981199998</v>
      </c>
      <c r="BP82" s="14">
        <f t="shared" si="42"/>
        <v>1248.7927996992</v>
      </c>
      <c r="BQ82" s="14">
        <f t="shared" si="16"/>
        <v>2787.4839279000003</v>
      </c>
      <c r="BR82" s="38">
        <f t="shared" si="74"/>
        <v>42813.275369052535</v>
      </c>
      <c r="BT82" s="4">
        <v>44</v>
      </c>
      <c r="BU82" s="14">
        <f>SUM(BN$39:BN82)</f>
        <v>1173680.6291466663</v>
      </c>
      <c r="BV82" s="14">
        <f>SUM(BO$39:BO82)</f>
        <v>295767.51854496018</v>
      </c>
      <c r="BW82" s="14">
        <f>SUM(BP$39:BP82)</f>
        <v>47322.802967193616</v>
      </c>
      <c r="BX82" s="14">
        <f>SUM(BQ$39:BQ82)</f>
        <v>105631.25662320005</v>
      </c>
      <c r="BY82" s="21">
        <f>SUM(BR$39:BR82)</f>
        <v>1622402.2072820195</v>
      </c>
    </row>
    <row r="83" spans="1:77" ht="18" customHeight="1" x14ac:dyDescent="0.25">
      <c r="A83" s="268"/>
      <c r="B83" s="267">
        <f t="shared" si="52"/>
        <v>45</v>
      </c>
      <c r="C83" s="264">
        <f t="shared" si="43"/>
        <v>46</v>
      </c>
      <c r="D83" s="265">
        <f t="shared" si="19"/>
        <v>48081.824238933325</v>
      </c>
      <c r="E83" s="266">
        <f t="shared" si="20"/>
        <v>36745.55733333333</v>
      </c>
      <c r="F83" s="266">
        <f t="shared" si="59"/>
        <v>6614.2003199999999</v>
      </c>
      <c r="G83" s="266">
        <f t="shared" si="22"/>
        <v>1058.2720512000001</v>
      </c>
      <c r="H83" s="266">
        <f t="shared" si="23"/>
        <v>2362.2143999999998</v>
      </c>
      <c r="I83" s="266">
        <f t="shared" si="24"/>
        <v>1301.5801344000001</v>
      </c>
      <c r="J83" s="435"/>
      <c r="K83" s="317">
        <f t="shared" si="25"/>
        <v>0</v>
      </c>
      <c r="L83" s="317">
        <f t="shared" si="79"/>
        <v>0</v>
      </c>
      <c r="M83" s="317">
        <f t="shared" si="27"/>
        <v>0</v>
      </c>
      <c r="N83" s="347">
        <f t="shared" si="28"/>
        <v>0</v>
      </c>
      <c r="O83" s="267">
        <f t="shared" si="53"/>
        <v>105</v>
      </c>
      <c r="P83" s="264">
        <f t="shared" si="75"/>
        <v>106</v>
      </c>
      <c r="Q83" s="265">
        <f t="shared" si="30"/>
        <v>58498.891012984895</v>
      </c>
      <c r="R83" s="266">
        <f t="shared" si="31"/>
        <v>44706.588979905595</v>
      </c>
      <c r="S83" s="266">
        <f t="shared" si="32"/>
        <v>8047.1860163830079</v>
      </c>
      <c r="T83" s="266">
        <f t="shared" si="33"/>
        <v>1287.5497626212814</v>
      </c>
      <c r="U83" s="266">
        <f t="shared" si="34"/>
        <v>2873.995005851074</v>
      </c>
      <c r="V83" s="266">
        <f t="shared" si="35"/>
        <v>1583.5712482239419</v>
      </c>
      <c r="W83" s="435"/>
      <c r="X83" s="317">
        <f t="shared" si="66"/>
        <v>0</v>
      </c>
      <c r="Y83" s="317">
        <f t="shared" si="67"/>
        <v>0</v>
      </c>
      <c r="Z83" s="317">
        <f t="shared" si="68"/>
        <v>0</v>
      </c>
      <c r="AA83" s="347">
        <f t="shared" si="36"/>
        <v>0</v>
      </c>
      <c r="AB83" s="309"/>
      <c r="AC83" s="132"/>
      <c r="AD83" s="136"/>
      <c r="AE83" s="136"/>
      <c r="AF83" s="132"/>
      <c r="AG83" s="13">
        <f t="shared" si="37"/>
        <v>45</v>
      </c>
      <c r="AH83" s="14">
        <f t="shared" si="80"/>
        <v>5574967.8558</v>
      </c>
      <c r="AI83" s="44">
        <f t="shared" si="44"/>
        <v>46</v>
      </c>
      <c r="AJ83" s="55">
        <f t="shared" si="81"/>
        <v>4724428.7999999998</v>
      </c>
      <c r="AK83" s="59">
        <v>9</v>
      </c>
      <c r="AL83" s="44">
        <f t="shared" si="46"/>
        <v>46</v>
      </c>
      <c r="AM83" s="45">
        <f t="shared" si="39"/>
        <v>48081.824238933325</v>
      </c>
      <c r="AN83" s="44">
        <f t="shared" si="54"/>
        <v>106</v>
      </c>
      <c r="AO83" s="45">
        <f t="shared" si="5"/>
        <v>58498.891012984895</v>
      </c>
      <c r="AP83" s="3"/>
      <c r="AQ83" s="46">
        <f t="shared" si="47"/>
        <v>46</v>
      </c>
      <c r="AR83" s="47">
        <f t="shared" si="40"/>
        <v>33919.299037866665</v>
      </c>
      <c r="AS83" s="46">
        <f t="shared" si="55"/>
        <v>106</v>
      </c>
      <c r="AT83" s="47">
        <f t="shared" si="6"/>
        <v>41268.013621794002</v>
      </c>
      <c r="AV83" s="41">
        <f t="shared" si="69"/>
        <v>0</v>
      </c>
      <c r="AW83" s="41">
        <f t="shared" si="70"/>
        <v>0</v>
      </c>
      <c r="AX83" s="43">
        <f t="shared" si="9"/>
        <v>0</v>
      </c>
      <c r="AY83" s="43">
        <f t="shared" si="10"/>
        <v>0</v>
      </c>
      <c r="AZ83" s="11"/>
      <c r="BA83" s="36">
        <f t="shared" si="76"/>
        <v>46</v>
      </c>
      <c r="BB83" s="35">
        <f t="shared" ref="BB83:BB114" si="82">SUM(VLOOKUP(BA83,$AI$39:$AJ$158,2,0)/$B$10*$K$30,VLOOKUP(BA83,$AI$39:$AJ$158,2,0)*($G$15*(100%-$BB$31+$BB$29))*1.16,VLOOKUP(BA83,$AI$39:$AJ$158,2,0)*$I$15,VLOOKUP(BA83,$AI$39:$AJ$158,2,0)*$J$15)</f>
        <v>48081.824238933325</v>
      </c>
      <c r="BC83" s="120"/>
      <c r="BD83" s="307">
        <f t="shared" si="77"/>
        <v>46</v>
      </c>
      <c r="BE83" s="303">
        <f t="shared" si="78"/>
        <v>33919.299037866665</v>
      </c>
      <c r="BF83" s="208"/>
      <c r="BG83" s="37">
        <f t="shared" si="50"/>
        <v>46</v>
      </c>
      <c r="BH83" s="8">
        <f t="shared" si="71"/>
        <v>383.62361855999995</v>
      </c>
      <c r="BI83" s="8"/>
      <c r="BJ83" s="37">
        <f t="shared" si="51"/>
        <v>46</v>
      </c>
      <c r="BK83" s="8">
        <f t="shared" si="72"/>
        <v>0</v>
      </c>
      <c r="BL83" s="8"/>
      <c r="BM83" s="4">
        <v>45</v>
      </c>
      <c r="BN83" s="14">
        <f t="shared" si="14"/>
        <v>30972.043643333334</v>
      </c>
      <c r="BO83" s="14">
        <f t="shared" si="73"/>
        <v>7804.9549981199998</v>
      </c>
      <c r="BP83" s="14">
        <f t="shared" si="42"/>
        <v>1248.7927996992</v>
      </c>
      <c r="BQ83" s="14">
        <f t="shared" si="16"/>
        <v>2787.4839279000003</v>
      </c>
      <c r="BR83" s="38">
        <f t="shared" si="74"/>
        <v>42813.275369052535</v>
      </c>
      <c r="BT83" s="4">
        <v>45</v>
      </c>
      <c r="BU83" s="14">
        <f>SUM(BN$39:BN83)</f>
        <v>1204652.6727899995</v>
      </c>
      <c r="BV83" s="14">
        <f>SUM(BO$39:BO83)</f>
        <v>303572.47354308021</v>
      </c>
      <c r="BW83" s="14">
        <f>SUM(BP$39:BP83)</f>
        <v>48571.595766892817</v>
      </c>
      <c r="BX83" s="14">
        <f>SUM(BQ$39:BQ83)</f>
        <v>108418.74055110005</v>
      </c>
      <c r="BY83" s="21">
        <f>SUM(BR$39:BR83)</f>
        <v>1665215.4826510721</v>
      </c>
    </row>
    <row r="84" spans="1:77" ht="18" customHeight="1" x14ac:dyDescent="0.25">
      <c r="A84" s="268"/>
      <c r="B84" s="267">
        <f t="shared" si="52"/>
        <v>46</v>
      </c>
      <c r="C84" s="264">
        <f t="shared" si="43"/>
        <v>47</v>
      </c>
      <c r="D84" s="265">
        <f t="shared" si="19"/>
        <v>48081.824238933325</v>
      </c>
      <c r="E84" s="266">
        <f t="shared" si="20"/>
        <v>36745.55733333333</v>
      </c>
      <c r="F84" s="266">
        <f t="shared" si="59"/>
        <v>6614.2003199999999</v>
      </c>
      <c r="G84" s="266">
        <f t="shared" si="22"/>
        <v>1058.2720512000001</v>
      </c>
      <c r="H84" s="266">
        <f t="shared" si="23"/>
        <v>2362.2143999999998</v>
      </c>
      <c r="I84" s="266">
        <f t="shared" si="24"/>
        <v>1301.5801344000001</v>
      </c>
      <c r="J84" s="435"/>
      <c r="K84" s="317">
        <f t="shared" si="25"/>
        <v>0</v>
      </c>
      <c r="L84" s="317">
        <f t="shared" si="79"/>
        <v>0</v>
      </c>
      <c r="M84" s="317">
        <f t="shared" si="27"/>
        <v>0</v>
      </c>
      <c r="N84" s="347">
        <f t="shared" si="28"/>
        <v>0</v>
      </c>
      <c r="O84" s="267">
        <f t="shared" si="53"/>
        <v>106</v>
      </c>
      <c r="P84" s="264">
        <f t="shared" si="75"/>
        <v>107</v>
      </c>
      <c r="Q84" s="265">
        <f t="shared" si="30"/>
        <v>58498.891012984895</v>
      </c>
      <c r="R84" s="266">
        <f t="shared" si="31"/>
        <v>44706.588979905595</v>
      </c>
      <c r="S84" s="266">
        <f t="shared" si="32"/>
        <v>8047.1860163830079</v>
      </c>
      <c r="T84" s="266">
        <f t="shared" si="33"/>
        <v>1287.5497626212814</v>
      </c>
      <c r="U84" s="266">
        <f t="shared" si="34"/>
        <v>2873.995005851074</v>
      </c>
      <c r="V84" s="266">
        <f t="shared" si="35"/>
        <v>1583.5712482239419</v>
      </c>
      <c r="W84" s="435"/>
      <c r="X84" s="317">
        <f t="shared" si="66"/>
        <v>0</v>
      </c>
      <c r="Y84" s="317">
        <f t="shared" si="67"/>
        <v>0</v>
      </c>
      <c r="Z84" s="317">
        <f t="shared" si="68"/>
        <v>0</v>
      </c>
      <c r="AA84" s="347">
        <f t="shared" si="36"/>
        <v>0</v>
      </c>
      <c r="AB84" s="309"/>
      <c r="AC84" s="132"/>
      <c r="AD84" s="136"/>
      <c r="AE84" s="136"/>
      <c r="AF84" s="132"/>
      <c r="AG84" s="13">
        <f t="shared" si="37"/>
        <v>46</v>
      </c>
      <c r="AH84" s="14">
        <f t="shared" si="80"/>
        <v>5574967.8558</v>
      </c>
      <c r="AI84" s="44">
        <f t="shared" si="44"/>
        <v>47</v>
      </c>
      <c r="AJ84" s="55">
        <f t="shared" si="81"/>
        <v>4724428.7999999998</v>
      </c>
      <c r="AK84" s="59">
        <v>10</v>
      </c>
      <c r="AL84" s="44">
        <f t="shared" si="46"/>
        <v>47</v>
      </c>
      <c r="AM84" s="45">
        <f t="shared" si="39"/>
        <v>48081.824238933325</v>
      </c>
      <c r="AN84" s="44">
        <f t="shared" si="54"/>
        <v>107</v>
      </c>
      <c r="AO84" s="45">
        <f t="shared" si="5"/>
        <v>58498.891012984895</v>
      </c>
      <c r="AP84" s="3"/>
      <c r="AQ84" s="46">
        <f t="shared" si="47"/>
        <v>47</v>
      </c>
      <c r="AR84" s="47">
        <f t="shared" si="40"/>
        <v>33919.299037866665</v>
      </c>
      <c r="AS84" s="46">
        <f t="shared" si="55"/>
        <v>107</v>
      </c>
      <c r="AT84" s="47">
        <f t="shared" si="6"/>
        <v>41268.013621794002</v>
      </c>
      <c r="AV84" s="41">
        <f t="shared" si="69"/>
        <v>0</v>
      </c>
      <c r="AW84" s="41">
        <f t="shared" si="70"/>
        <v>0</v>
      </c>
      <c r="AX84" s="43">
        <f t="shared" si="9"/>
        <v>0</v>
      </c>
      <c r="AY84" s="43">
        <f t="shared" si="10"/>
        <v>0</v>
      </c>
      <c r="AZ84" s="11"/>
      <c r="BA84" s="36">
        <f t="shared" si="76"/>
        <v>47</v>
      </c>
      <c r="BB84" s="35">
        <f t="shared" si="82"/>
        <v>48081.824238933325</v>
      </c>
      <c r="BC84" s="120"/>
      <c r="BD84" s="307">
        <f t="shared" si="77"/>
        <v>47</v>
      </c>
      <c r="BE84" s="303">
        <f t="shared" si="78"/>
        <v>33919.299037866665</v>
      </c>
      <c r="BF84" s="208"/>
      <c r="BG84" s="37">
        <f t="shared" si="50"/>
        <v>47</v>
      </c>
      <c r="BH84" s="8">
        <f t="shared" si="71"/>
        <v>383.62361855999995</v>
      </c>
      <c r="BI84" s="8"/>
      <c r="BJ84" s="37">
        <f t="shared" si="51"/>
        <v>47</v>
      </c>
      <c r="BK84" s="8">
        <f t="shared" si="72"/>
        <v>0</v>
      </c>
      <c r="BL84" s="8"/>
      <c r="BM84" s="4">
        <v>46</v>
      </c>
      <c r="BN84" s="14">
        <f t="shared" si="14"/>
        <v>30972.043643333334</v>
      </c>
      <c r="BO84" s="14">
        <f t="shared" si="73"/>
        <v>7804.9549981199998</v>
      </c>
      <c r="BP84" s="14">
        <f t="shared" si="42"/>
        <v>1248.7927996992</v>
      </c>
      <c r="BQ84" s="14">
        <f t="shared" si="16"/>
        <v>2787.4839279000003</v>
      </c>
      <c r="BR84" s="38">
        <f t="shared" si="74"/>
        <v>42813.275369052535</v>
      </c>
      <c r="BT84" s="4">
        <v>46</v>
      </c>
      <c r="BU84" s="14">
        <f>SUM(BN$39:BN84)</f>
        <v>1235624.7164333328</v>
      </c>
      <c r="BV84" s="14">
        <f>SUM(BO$39:BO84)</f>
        <v>311377.42854120024</v>
      </c>
      <c r="BW84" s="14">
        <f>SUM(BP$39:BP84)</f>
        <v>49820.388566592017</v>
      </c>
      <c r="BX84" s="14">
        <f>SUM(BQ$39:BQ84)</f>
        <v>111206.22447900005</v>
      </c>
      <c r="BY84" s="21">
        <f>SUM(BR$39:BR84)</f>
        <v>1708028.7580201246</v>
      </c>
    </row>
    <row r="85" spans="1:77" ht="18" customHeight="1" x14ac:dyDescent="0.25">
      <c r="A85" s="268"/>
      <c r="B85" s="267">
        <f t="shared" si="52"/>
        <v>47</v>
      </c>
      <c r="C85" s="264">
        <f t="shared" si="43"/>
        <v>48</v>
      </c>
      <c r="D85" s="265">
        <f t="shared" si="19"/>
        <v>48081.824238933325</v>
      </c>
      <c r="E85" s="266">
        <f t="shared" si="20"/>
        <v>36745.55733333333</v>
      </c>
      <c r="F85" s="266">
        <f t="shared" si="59"/>
        <v>6614.2003199999999</v>
      </c>
      <c r="G85" s="266">
        <f t="shared" si="22"/>
        <v>1058.2720512000001</v>
      </c>
      <c r="H85" s="266">
        <f t="shared" si="23"/>
        <v>2362.2143999999998</v>
      </c>
      <c r="I85" s="266">
        <f t="shared" si="24"/>
        <v>1301.5801344000001</v>
      </c>
      <c r="J85" s="435"/>
      <c r="K85" s="317">
        <f t="shared" si="25"/>
        <v>0</v>
      </c>
      <c r="L85" s="317">
        <f t="shared" si="79"/>
        <v>0</v>
      </c>
      <c r="M85" s="317">
        <f t="shared" si="27"/>
        <v>0</v>
      </c>
      <c r="N85" s="347">
        <f t="shared" si="28"/>
        <v>0</v>
      </c>
      <c r="O85" s="267">
        <f t="shared" si="53"/>
        <v>107</v>
      </c>
      <c r="P85" s="264">
        <f t="shared" si="75"/>
        <v>108</v>
      </c>
      <c r="Q85" s="265">
        <f t="shared" si="30"/>
        <v>58498.891012984895</v>
      </c>
      <c r="R85" s="266">
        <f t="shared" si="31"/>
        <v>44706.588979905595</v>
      </c>
      <c r="S85" s="266">
        <f t="shared" si="32"/>
        <v>8047.1860163830079</v>
      </c>
      <c r="T85" s="266">
        <f t="shared" si="33"/>
        <v>1287.5497626212814</v>
      </c>
      <c r="U85" s="266">
        <f t="shared" si="34"/>
        <v>2873.995005851074</v>
      </c>
      <c r="V85" s="266">
        <f t="shared" si="35"/>
        <v>1583.5712482239419</v>
      </c>
      <c r="W85" s="435"/>
      <c r="X85" s="317">
        <f t="shared" si="66"/>
        <v>0</v>
      </c>
      <c r="Y85" s="317">
        <f t="shared" si="67"/>
        <v>0</v>
      </c>
      <c r="Z85" s="317">
        <f t="shared" si="68"/>
        <v>0</v>
      </c>
      <c r="AA85" s="347">
        <f t="shared" si="36"/>
        <v>0</v>
      </c>
      <c r="AB85" s="309"/>
      <c r="AC85" s="136"/>
      <c r="AD85" s="136"/>
      <c r="AE85" s="136"/>
      <c r="AF85" s="132"/>
      <c r="AG85" s="13">
        <f t="shared" si="37"/>
        <v>47</v>
      </c>
      <c r="AH85" s="14">
        <f t="shared" si="80"/>
        <v>5574967.8558</v>
      </c>
      <c r="AI85" s="44">
        <f t="shared" si="44"/>
        <v>48</v>
      </c>
      <c r="AJ85" s="55">
        <f t="shared" si="81"/>
        <v>4724428.7999999998</v>
      </c>
      <c r="AK85" s="59">
        <v>11</v>
      </c>
      <c r="AL85" s="44">
        <f t="shared" si="46"/>
        <v>48</v>
      </c>
      <c r="AM85" s="45">
        <f t="shared" si="39"/>
        <v>48081.824238933325</v>
      </c>
      <c r="AN85" s="44">
        <f t="shared" si="54"/>
        <v>108</v>
      </c>
      <c r="AO85" s="45">
        <f t="shared" si="5"/>
        <v>58498.891012984895</v>
      </c>
      <c r="AP85" s="3"/>
      <c r="AQ85" s="46">
        <f t="shared" si="47"/>
        <v>48</v>
      </c>
      <c r="AR85" s="47">
        <f t="shared" si="40"/>
        <v>33919.299037866665</v>
      </c>
      <c r="AS85" s="46">
        <f t="shared" si="55"/>
        <v>108</v>
      </c>
      <c r="AT85" s="47">
        <f t="shared" si="6"/>
        <v>41268.013621794002</v>
      </c>
      <c r="AV85" s="41">
        <f t="shared" si="69"/>
        <v>0</v>
      </c>
      <c r="AW85" s="41">
        <f t="shared" si="70"/>
        <v>0</v>
      </c>
      <c r="AX85" s="43">
        <f t="shared" si="9"/>
        <v>0</v>
      </c>
      <c r="AY85" s="43">
        <f t="shared" si="10"/>
        <v>0</v>
      </c>
      <c r="AZ85" s="11"/>
      <c r="BA85" s="36">
        <f t="shared" si="76"/>
        <v>48</v>
      </c>
      <c r="BB85" s="35">
        <f t="shared" si="82"/>
        <v>48081.824238933325</v>
      </c>
      <c r="BC85" s="120"/>
      <c r="BD85" s="307">
        <f t="shared" si="77"/>
        <v>48</v>
      </c>
      <c r="BE85" s="303">
        <f t="shared" si="78"/>
        <v>33919.299037866665</v>
      </c>
      <c r="BF85" s="208"/>
      <c r="BG85" s="37">
        <f t="shared" si="50"/>
        <v>48</v>
      </c>
      <c r="BH85" s="8">
        <f t="shared" si="71"/>
        <v>383.62361855999995</v>
      </c>
      <c r="BI85" s="8"/>
      <c r="BJ85" s="37">
        <f t="shared" si="51"/>
        <v>48</v>
      </c>
      <c r="BK85" s="8">
        <f t="shared" si="72"/>
        <v>0</v>
      </c>
      <c r="BL85" s="8"/>
      <c r="BM85" s="4">
        <v>47</v>
      </c>
      <c r="BN85" s="14">
        <f t="shared" si="14"/>
        <v>30972.043643333334</v>
      </c>
      <c r="BO85" s="14">
        <f t="shared" si="73"/>
        <v>7804.9549981199998</v>
      </c>
      <c r="BP85" s="14">
        <f t="shared" si="42"/>
        <v>1248.7927996992</v>
      </c>
      <c r="BQ85" s="14">
        <f t="shared" si="16"/>
        <v>2787.4839279000003</v>
      </c>
      <c r="BR85" s="38">
        <f t="shared" si="74"/>
        <v>42813.275369052535</v>
      </c>
      <c r="BT85" s="4">
        <v>47</v>
      </c>
      <c r="BU85" s="14">
        <f>SUM(BN$39:BN85)</f>
        <v>1266596.760076666</v>
      </c>
      <c r="BV85" s="14">
        <f>SUM(BO$39:BO85)</f>
        <v>319182.38353932026</v>
      </c>
      <c r="BW85" s="14">
        <f>SUM(BP$39:BP85)</f>
        <v>51069.181366291217</v>
      </c>
      <c r="BX85" s="14">
        <f>SUM(BQ$39:BQ85)</f>
        <v>113993.70840690006</v>
      </c>
      <c r="BY85" s="21">
        <f>SUM(BR$39:BR85)</f>
        <v>1750842.0333891772</v>
      </c>
    </row>
    <row r="86" spans="1:77" ht="18" customHeight="1" x14ac:dyDescent="0.25">
      <c r="A86" s="268"/>
      <c r="B86" s="267">
        <f t="shared" si="52"/>
        <v>48</v>
      </c>
      <c r="C86" s="264">
        <f t="shared" si="43"/>
        <v>49</v>
      </c>
      <c r="D86" s="265">
        <f t="shared" si="19"/>
        <v>48081.824238933325</v>
      </c>
      <c r="E86" s="266">
        <f t="shared" si="20"/>
        <v>36745.55733333333</v>
      </c>
      <c r="F86" s="266">
        <f t="shared" si="59"/>
        <v>6614.2003199999999</v>
      </c>
      <c r="G86" s="266">
        <f t="shared" si="22"/>
        <v>1058.2720512000001</v>
      </c>
      <c r="H86" s="266">
        <f t="shared" si="23"/>
        <v>2362.2143999999998</v>
      </c>
      <c r="I86" s="266">
        <f t="shared" si="24"/>
        <v>1301.5801344000001</v>
      </c>
      <c r="J86" s="435"/>
      <c r="K86" s="317">
        <f t="shared" si="25"/>
        <v>0</v>
      </c>
      <c r="L86" s="317">
        <f t="shared" si="79"/>
        <v>0</v>
      </c>
      <c r="M86" s="317">
        <f t="shared" si="27"/>
        <v>0</v>
      </c>
      <c r="N86" s="347">
        <f t="shared" si="28"/>
        <v>0</v>
      </c>
      <c r="O86" s="267">
        <f t="shared" si="53"/>
        <v>108</v>
      </c>
      <c r="P86" s="264">
        <f t="shared" si="75"/>
        <v>109</v>
      </c>
      <c r="Q86" s="265">
        <f t="shared" si="30"/>
        <v>58498.891012984895</v>
      </c>
      <c r="R86" s="266">
        <f t="shared" si="31"/>
        <v>44706.588979905595</v>
      </c>
      <c r="S86" s="266">
        <f t="shared" si="32"/>
        <v>8047.1860163830079</v>
      </c>
      <c r="T86" s="266">
        <f t="shared" si="33"/>
        <v>1287.5497626212814</v>
      </c>
      <c r="U86" s="266">
        <f t="shared" si="34"/>
        <v>2873.995005851074</v>
      </c>
      <c r="V86" s="266">
        <f t="shared" si="35"/>
        <v>1583.5712482239419</v>
      </c>
      <c r="W86" s="435"/>
      <c r="X86" s="317">
        <f t="shared" si="66"/>
        <v>0</v>
      </c>
      <c r="Y86" s="317">
        <f t="shared" si="67"/>
        <v>0</v>
      </c>
      <c r="Z86" s="317">
        <f t="shared" si="68"/>
        <v>0</v>
      </c>
      <c r="AA86" s="347">
        <f t="shared" si="36"/>
        <v>0</v>
      </c>
      <c r="AB86" s="309"/>
      <c r="AC86" s="132"/>
      <c r="AD86" s="136"/>
      <c r="AE86" s="136"/>
      <c r="AF86" s="136"/>
      <c r="AG86" s="13">
        <f t="shared" si="37"/>
        <v>48</v>
      </c>
      <c r="AH86" s="14">
        <f t="shared" si="80"/>
        <v>5574967.8558</v>
      </c>
      <c r="AI86" s="44">
        <f t="shared" si="44"/>
        <v>49</v>
      </c>
      <c r="AJ86" s="55">
        <f t="shared" si="81"/>
        <v>4724428.7999999998</v>
      </c>
      <c r="AK86" s="59">
        <v>12</v>
      </c>
      <c r="AL86" s="44">
        <f t="shared" si="46"/>
        <v>49</v>
      </c>
      <c r="AM86" s="45">
        <f t="shared" si="39"/>
        <v>48081.824238933325</v>
      </c>
      <c r="AN86" s="44">
        <f t="shared" si="54"/>
        <v>109</v>
      </c>
      <c r="AO86" s="45">
        <f t="shared" si="5"/>
        <v>58498.891012984895</v>
      </c>
      <c r="AP86" s="3"/>
      <c r="AQ86" s="46">
        <f t="shared" si="47"/>
        <v>49</v>
      </c>
      <c r="AR86" s="47">
        <f t="shared" si="40"/>
        <v>33919.299037866665</v>
      </c>
      <c r="AS86" s="46">
        <f t="shared" si="55"/>
        <v>109</v>
      </c>
      <c r="AT86" s="47">
        <f t="shared" si="6"/>
        <v>41268.013621794002</v>
      </c>
      <c r="AV86" s="41">
        <f t="shared" si="69"/>
        <v>0</v>
      </c>
      <c r="AW86" s="41">
        <f t="shared" si="70"/>
        <v>0</v>
      </c>
      <c r="AX86" s="43">
        <f t="shared" si="9"/>
        <v>0</v>
      </c>
      <c r="AY86" s="43">
        <f t="shared" si="10"/>
        <v>0</v>
      </c>
      <c r="AZ86" s="11"/>
      <c r="BA86" s="36">
        <f t="shared" si="76"/>
        <v>49</v>
      </c>
      <c r="BB86" s="35">
        <f t="shared" si="82"/>
        <v>48081.824238933325</v>
      </c>
      <c r="BC86" s="120"/>
      <c r="BD86" s="307">
        <f t="shared" si="77"/>
        <v>49</v>
      </c>
      <c r="BE86" s="303">
        <f t="shared" si="78"/>
        <v>33919.299037866665</v>
      </c>
      <c r="BF86" s="208"/>
      <c r="BG86" s="37">
        <f t="shared" si="50"/>
        <v>49</v>
      </c>
      <c r="BH86" s="8">
        <f t="shared" si="71"/>
        <v>383.62361855999995</v>
      </c>
      <c r="BI86" s="8"/>
      <c r="BJ86" s="37">
        <f t="shared" si="51"/>
        <v>49</v>
      </c>
      <c r="BK86" s="8">
        <f t="shared" si="72"/>
        <v>0</v>
      </c>
      <c r="BL86" s="8"/>
      <c r="BM86" s="4">
        <v>48</v>
      </c>
      <c r="BN86" s="14">
        <f t="shared" si="14"/>
        <v>30972.043643333334</v>
      </c>
      <c r="BO86" s="14">
        <f t="shared" si="73"/>
        <v>7804.9549981199998</v>
      </c>
      <c r="BP86" s="14">
        <f t="shared" si="42"/>
        <v>1248.7927996992</v>
      </c>
      <c r="BQ86" s="14">
        <f t="shared" si="16"/>
        <v>2787.4839279000003</v>
      </c>
      <c r="BR86" s="38">
        <f t="shared" si="74"/>
        <v>42813.275369052535</v>
      </c>
      <c r="BT86" s="4">
        <v>48</v>
      </c>
      <c r="BU86" s="14">
        <f>SUM(BN$39:BN86)</f>
        <v>1297568.8037199993</v>
      </c>
      <c r="BV86" s="14">
        <f>SUM(BO$39:BO86)</f>
        <v>326987.33853744029</v>
      </c>
      <c r="BW86" s="14">
        <f>SUM(BP$39:BP86)</f>
        <v>52317.974165990418</v>
      </c>
      <c r="BX86" s="14">
        <f>SUM(BQ$39:BQ86)</f>
        <v>116781.19233480006</v>
      </c>
      <c r="BY86" s="21">
        <f>SUM(BR$39:BR86)</f>
        <v>1793655.3087582297</v>
      </c>
    </row>
    <row r="87" spans="1:77" ht="18" customHeight="1" x14ac:dyDescent="0.25">
      <c r="A87" s="268"/>
      <c r="B87" s="267">
        <f t="shared" si="52"/>
        <v>49</v>
      </c>
      <c r="C87" s="264">
        <f t="shared" si="43"/>
        <v>50</v>
      </c>
      <c r="D87" s="265">
        <f t="shared" si="19"/>
        <v>50005.097208490661</v>
      </c>
      <c r="E87" s="266">
        <f t="shared" si="20"/>
        <v>38215.379626666661</v>
      </c>
      <c r="F87" s="266">
        <f t="shared" si="59"/>
        <v>6878.7683327999994</v>
      </c>
      <c r="G87" s="266">
        <f t="shared" si="22"/>
        <v>1100.602933248</v>
      </c>
      <c r="H87" s="266">
        <f t="shared" si="23"/>
        <v>2456.702976</v>
      </c>
      <c r="I87" s="266">
        <f t="shared" si="24"/>
        <v>1353.6433397759999</v>
      </c>
      <c r="J87" s="435">
        <f>'Resumen Flex'!K40</f>
        <v>0</v>
      </c>
      <c r="K87" s="317">
        <f t="shared" si="25"/>
        <v>0</v>
      </c>
      <c r="L87" s="317">
        <f t="shared" si="79"/>
        <v>0</v>
      </c>
      <c r="M87" s="317">
        <f t="shared" si="27"/>
        <v>0</v>
      </c>
      <c r="N87" s="347">
        <f t="shared" si="28"/>
        <v>0</v>
      </c>
      <c r="O87" s="267">
        <f t="shared" si="53"/>
        <v>109</v>
      </c>
      <c r="P87" s="264">
        <f t="shared" si="75"/>
        <v>110</v>
      </c>
      <c r="Q87" s="265">
        <f t="shared" si="30"/>
        <v>60838.846653504297</v>
      </c>
      <c r="R87" s="266">
        <f t="shared" si="31"/>
        <v>46494.852539101819</v>
      </c>
      <c r="S87" s="266">
        <f t="shared" si="32"/>
        <v>8369.0734570383283</v>
      </c>
      <c r="T87" s="266">
        <f t="shared" si="33"/>
        <v>1339.0517531261326</v>
      </c>
      <c r="U87" s="266">
        <f t="shared" si="34"/>
        <v>2988.9548060851171</v>
      </c>
      <c r="V87" s="266">
        <f t="shared" si="35"/>
        <v>1646.9140981528997</v>
      </c>
      <c r="W87" s="435">
        <f>'Resumen Flex'!K45</f>
        <v>0</v>
      </c>
      <c r="X87" s="317">
        <f t="shared" si="66"/>
        <v>0</v>
      </c>
      <c r="Y87" s="317">
        <f t="shared" si="67"/>
        <v>0</v>
      </c>
      <c r="Z87" s="317">
        <f t="shared" si="68"/>
        <v>0</v>
      </c>
      <c r="AA87" s="347">
        <f t="shared" si="36"/>
        <v>0</v>
      </c>
      <c r="AB87" s="309"/>
      <c r="AD87" s="136"/>
      <c r="AF87" s="136"/>
      <c r="AG87" s="13">
        <f t="shared" si="37"/>
        <v>49</v>
      </c>
      <c r="AH87" s="14">
        <f>((AH86)+(AH86*$D$29))</f>
        <v>6126889.6735242</v>
      </c>
      <c r="AI87" s="44">
        <f t="shared" si="44"/>
        <v>50</v>
      </c>
      <c r="AJ87" s="55">
        <f>((AJ86)+(AJ86*$E$29))</f>
        <v>4913405.9519999996</v>
      </c>
      <c r="AK87" s="59">
        <v>1</v>
      </c>
      <c r="AL87" s="44">
        <f t="shared" si="46"/>
        <v>50</v>
      </c>
      <c r="AM87" s="45">
        <f t="shared" si="39"/>
        <v>50005.097208490661</v>
      </c>
      <c r="AN87" s="44">
        <f t="shared" si="54"/>
        <v>110</v>
      </c>
      <c r="AO87" s="45">
        <f t="shared" si="5"/>
        <v>60838.846653504297</v>
      </c>
      <c r="AP87" s="3"/>
      <c r="AQ87" s="46">
        <f t="shared" si="47"/>
        <v>50</v>
      </c>
      <c r="AR87" s="47">
        <f t="shared" si="40"/>
        <v>35276.070999381329</v>
      </c>
      <c r="AS87" s="46">
        <f t="shared" si="55"/>
        <v>110</v>
      </c>
      <c r="AT87" s="47">
        <f t="shared" si="6"/>
        <v>42918.734166665759</v>
      </c>
      <c r="AV87" s="41">
        <f t="shared" si="69"/>
        <v>0</v>
      </c>
      <c r="AW87" s="41">
        <f t="shared" si="70"/>
        <v>0</v>
      </c>
      <c r="AX87" s="43">
        <f t="shared" si="9"/>
        <v>0</v>
      </c>
      <c r="AY87" s="43">
        <f t="shared" si="10"/>
        <v>0</v>
      </c>
      <c r="AZ87" s="11"/>
      <c r="BA87" s="36">
        <f t="shared" si="76"/>
        <v>50</v>
      </c>
      <c r="BB87" s="35">
        <f t="shared" si="82"/>
        <v>50005.097208490661</v>
      </c>
      <c r="BC87" s="120"/>
      <c r="BD87" s="307">
        <f t="shared" si="77"/>
        <v>50</v>
      </c>
      <c r="BE87" s="303">
        <f t="shared" si="78"/>
        <v>35276.070999381329</v>
      </c>
      <c r="BF87" s="208"/>
      <c r="BG87" s="37">
        <f t="shared" si="50"/>
        <v>50</v>
      </c>
      <c r="BH87" s="8">
        <f t="shared" si="71"/>
        <v>398.96856330239996</v>
      </c>
      <c r="BI87" s="8"/>
      <c r="BJ87" s="37">
        <f t="shared" si="51"/>
        <v>50</v>
      </c>
      <c r="BK87" s="8">
        <f t="shared" si="72"/>
        <v>0</v>
      </c>
      <c r="BL87" s="8"/>
      <c r="BM87" s="4">
        <v>49</v>
      </c>
      <c r="BN87" s="14">
        <f t="shared" si="14"/>
        <v>34038.275964023334</v>
      </c>
      <c r="BO87" s="14">
        <f t="shared" si="73"/>
        <v>8577.6455429338803</v>
      </c>
      <c r="BP87" s="14">
        <f t="shared" si="42"/>
        <v>1372.423286869421</v>
      </c>
      <c r="BQ87" s="14">
        <f t="shared" si="16"/>
        <v>3063.4448367620998</v>
      </c>
      <c r="BR87" s="38">
        <f t="shared" si="74"/>
        <v>47051.789630588741</v>
      </c>
      <c r="BT87" s="4">
        <v>49</v>
      </c>
      <c r="BU87" s="14">
        <f>SUM(BN$39:BN87)</f>
        <v>1331607.0796840226</v>
      </c>
      <c r="BV87" s="14">
        <f>SUM(BO$39:BO87)</f>
        <v>335564.98408037418</v>
      </c>
      <c r="BW87" s="14">
        <f>SUM(BP$39:BP87)</f>
        <v>53690.397452859841</v>
      </c>
      <c r="BX87" s="14">
        <f>SUM(BQ$39:BQ87)</f>
        <v>119844.63717156215</v>
      </c>
      <c r="BY87" s="21">
        <f>SUM(BR$39:BR87)</f>
        <v>1840707.0983888186</v>
      </c>
    </row>
    <row r="88" spans="1:77" ht="18" customHeight="1" x14ac:dyDescent="0.25">
      <c r="A88" s="268"/>
      <c r="B88" s="267">
        <f t="shared" si="52"/>
        <v>50</v>
      </c>
      <c r="C88" s="264">
        <f t="shared" si="43"/>
        <v>51</v>
      </c>
      <c r="D88" s="265">
        <f t="shared" si="19"/>
        <v>50005.097208490661</v>
      </c>
      <c r="E88" s="266">
        <f t="shared" si="20"/>
        <v>38215.379626666661</v>
      </c>
      <c r="F88" s="266">
        <f t="shared" si="59"/>
        <v>6878.7683327999994</v>
      </c>
      <c r="G88" s="266">
        <f t="shared" si="22"/>
        <v>1100.602933248</v>
      </c>
      <c r="H88" s="266">
        <f t="shared" si="23"/>
        <v>2456.702976</v>
      </c>
      <c r="I88" s="266">
        <f t="shared" si="24"/>
        <v>1353.6433397759999</v>
      </c>
      <c r="J88" s="435"/>
      <c r="K88" s="317">
        <f t="shared" si="25"/>
        <v>0</v>
      </c>
      <c r="L88" s="317">
        <f t="shared" si="79"/>
        <v>0</v>
      </c>
      <c r="M88" s="317">
        <f t="shared" si="27"/>
        <v>0</v>
      </c>
      <c r="N88" s="347">
        <f t="shared" si="28"/>
        <v>0</v>
      </c>
      <c r="O88" s="267">
        <f t="shared" si="53"/>
        <v>110</v>
      </c>
      <c r="P88" s="264">
        <f t="shared" si="75"/>
        <v>111</v>
      </c>
      <c r="Q88" s="265">
        <f t="shared" si="30"/>
        <v>60838.846653504297</v>
      </c>
      <c r="R88" s="266">
        <f t="shared" si="31"/>
        <v>46494.852539101819</v>
      </c>
      <c r="S88" s="266">
        <f t="shared" si="32"/>
        <v>8369.0734570383283</v>
      </c>
      <c r="T88" s="266">
        <f t="shared" si="33"/>
        <v>1339.0517531261326</v>
      </c>
      <c r="U88" s="266">
        <f t="shared" si="34"/>
        <v>2988.9548060851171</v>
      </c>
      <c r="V88" s="266">
        <f t="shared" si="35"/>
        <v>1646.9140981528997</v>
      </c>
      <c r="W88" s="316"/>
      <c r="X88" s="317">
        <f t="shared" si="66"/>
        <v>0</v>
      </c>
      <c r="Y88" s="317">
        <f t="shared" si="67"/>
        <v>0</v>
      </c>
      <c r="Z88" s="317">
        <f t="shared" si="68"/>
        <v>0</v>
      </c>
      <c r="AA88" s="347">
        <f t="shared" si="36"/>
        <v>0</v>
      </c>
      <c r="AB88" s="309"/>
      <c r="AC88" s="132"/>
      <c r="AD88" s="136"/>
      <c r="AE88" s="136"/>
      <c r="AF88" s="132"/>
      <c r="AG88" s="13">
        <f t="shared" si="37"/>
        <v>50</v>
      </c>
      <c r="AH88" s="14">
        <f t="shared" ref="AH88:AH98" si="83">AH87</f>
        <v>6126889.6735242</v>
      </c>
      <c r="AI88" s="44">
        <f t="shared" si="44"/>
        <v>51</v>
      </c>
      <c r="AJ88" s="55">
        <f>AJ87</f>
        <v>4913405.9519999996</v>
      </c>
      <c r="AK88" s="59">
        <v>2</v>
      </c>
      <c r="AL88" s="44">
        <f t="shared" si="46"/>
        <v>51</v>
      </c>
      <c r="AM88" s="45">
        <f t="shared" si="39"/>
        <v>50005.097208490661</v>
      </c>
      <c r="AN88" s="44">
        <f t="shared" si="54"/>
        <v>111</v>
      </c>
      <c r="AO88" s="45">
        <f t="shared" si="5"/>
        <v>60838.846653504297</v>
      </c>
      <c r="AP88" s="3"/>
      <c r="AQ88" s="46">
        <f t="shared" si="47"/>
        <v>51</v>
      </c>
      <c r="AR88" s="47">
        <f t="shared" si="40"/>
        <v>35276.070999381329</v>
      </c>
      <c r="AS88" s="46">
        <f t="shared" si="55"/>
        <v>111</v>
      </c>
      <c r="AT88" s="47">
        <f t="shared" si="6"/>
        <v>42918.734166665759</v>
      </c>
      <c r="AV88" s="41">
        <f t="shared" si="69"/>
        <v>0</v>
      </c>
      <c r="AW88" s="41">
        <f t="shared" si="70"/>
        <v>0</v>
      </c>
      <c r="AX88" s="43">
        <f t="shared" si="9"/>
        <v>0</v>
      </c>
      <c r="AY88" s="43">
        <f t="shared" si="10"/>
        <v>0</v>
      </c>
      <c r="AZ88" s="11"/>
      <c r="BA88" s="36">
        <f t="shared" si="76"/>
        <v>51</v>
      </c>
      <c r="BB88" s="35">
        <f t="shared" si="82"/>
        <v>50005.097208490661</v>
      </c>
      <c r="BC88" s="120"/>
      <c r="BD88" s="307">
        <f t="shared" si="77"/>
        <v>51</v>
      </c>
      <c r="BE88" s="303">
        <f t="shared" si="78"/>
        <v>35276.070999381329</v>
      </c>
      <c r="BF88" s="208"/>
      <c r="BG88" s="37">
        <f t="shared" si="50"/>
        <v>51</v>
      </c>
      <c r="BH88" s="8">
        <f t="shared" si="71"/>
        <v>398.96856330239996</v>
      </c>
      <c r="BI88" s="8"/>
      <c r="BJ88" s="37">
        <f t="shared" si="51"/>
        <v>51</v>
      </c>
      <c r="BK88" s="8">
        <f t="shared" si="72"/>
        <v>0</v>
      </c>
      <c r="BL88" s="8"/>
      <c r="BM88" s="4">
        <v>50</v>
      </c>
      <c r="BN88" s="14">
        <f t="shared" si="14"/>
        <v>34038.275964023334</v>
      </c>
      <c r="BO88" s="14">
        <f t="shared" si="73"/>
        <v>8577.6455429338803</v>
      </c>
      <c r="BP88" s="14">
        <f t="shared" si="42"/>
        <v>1372.423286869421</v>
      </c>
      <c r="BQ88" s="14">
        <f t="shared" si="16"/>
        <v>3063.4448367620998</v>
      </c>
      <c r="BR88" s="38">
        <f t="shared" si="74"/>
        <v>47051.789630588741</v>
      </c>
      <c r="BT88" s="4">
        <v>50</v>
      </c>
      <c r="BU88" s="14">
        <f>SUM(BN$39:BN88)</f>
        <v>1365645.3556480459</v>
      </c>
      <c r="BV88" s="14">
        <f>SUM(BO$39:BO88)</f>
        <v>344142.62962330808</v>
      </c>
      <c r="BW88" s="14">
        <f>SUM(BP$39:BP88)</f>
        <v>55062.820739729264</v>
      </c>
      <c r="BX88" s="14">
        <f>SUM(BQ$39:BQ88)</f>
        <v>122908.08200832424</v>
      </c>
      <c r="BY88" s="21">
        <f>SUM(BR$39:BR88)</f>
        <v>1887758.8880194074</v>
      </c>
    </row>
    <row r="89" spans="1:77" ht="18" customHeight="1" x14ac:dyDescent="0.25">
      <c r="A89" s="268"/>
      <c r="B89" s="267">
        <f t="shared" si="52"/>
        <v>51</v>
      </c>
      <c r="C89" s="264">
        <f t="shared" si="43"/>
        <v>52</v>
      </c>
      <c r="D89" s="265">
        <f t="shared" si="19"/>
        <v>50005.097208490661</v>
      </c>
      <c r="E89" s="266">
        <f t="shared" si="20"/>
        <v>38215.379626666661</v>
      </c>
      <c r="F89" s="266">
        <f t="shared" si="59"/>
        <v>6878.7683327999994</v>
      </c>
      <c r="G89" s="266">
        <f t="shared" si="22"/>
        <v>1100.602933248</v>
      </c>
      <c r="H89" s="266">
        <f t="shared" si="23"/>
        <v>2456.702976</v>
      </c>
      <c r="I89" s="266">
        <f t="shared" si="24"/>
        <v>1353.6433397759999</v>
      </c>
      <c r="J89" s="435"/>
      <c r="K89" s="317">
        <f t="shared" si="25"/>
        <v>0</v>
      </c>
      <c r="L89" s="317">
        <f t="shared" si="79"/>
        <v>0</v>
      </c>
      <c r="M89" s="317">
        <f t="shared" si="27"/>
        <v>0</v>
      </c>
      <c r="N89" s="347">
        <f t="shared" si="28"/>
        <v>0</v>
      </c>
      <c r="O89" s="267">
        <f t="shared" si="53"/>
        <v>111</v>
      </c>
      <c r="P89" s="264">
        <f t="shared" si="75"/>
        <v>112</v>
      </c>
      <c r="Q89" s="265">
        <f t="shared" si="30"/>
        <v>60838.846653504297</v>
      </c>
      <c r="R89" s="266">
        <f t="shared" si="31"/>
        <v>46494.852539101819</v>
      </c>
      <c r="S89" s="266">
        <f t="shared" si="32"/>
        <v>8369.0734570383283</v>
      </c>
      <c r="T89" s="266">
        <f t="shared" si="33"/>
        <v>1339.0517531261326</v>
      </c>
      <c r="U89" s="266">
        <f t="shared" si="34"/>
        <v>2988.9548060851171</v>
      </c>
      <c r="V89" s="266">
        <f t="shared" si="35"/>
        <v>1646.9140981528997</v>
      </c>
      <c r="W89" s="316"/>
      <c r="X89" s="317">
        <f t="shared" si="66"/>
        <v>0</v>
      </c>
      <c r="Y89" s="317">
        <f t="shared" si="67"/>
        <v>0</v>
      </c>
      <c r="Z89" s="317">
        <f t="shared" si="68"/>
        <v>0</v>
      </c>
      <c r="AA89" s="347">
        <f t="shared" si="36"/>
        <v>0</v>
      </c>
      <c r="AB89" s="309"/>
      <c r="AC89" s="132"/>
      <c r="AD89" s="136"/>
      <c r="AE89" s="136"/>
      <c r="AF89" s="132"/>
      <c r="AG89" s="13">
        <f t="shared" si="37"/>
        <v>51</v>
      </c>
      <c r="AH89" s="14">
        <f t="shared" si="83"/>
        <v>6126889.6735242</v>
      </c>
      <c r="AI89" s="44">
        <f t="shared" si="44"/>
        <v>52</v>
      </c>
      <c r="AJ89" s="55">
        <f t="shared" ref="AJ89:AJ98" si="84">AJ88</f>
        <v>4913405.9519999996</v>
      </c>
      <c r="AK89" s="59">
        <v>3</v>
      </c>
      <c r="AL89" s="44">
        <f t="shared" si="46"/>
        <v>52</v>
      </c>
      <c r="AM89" s="45">
        <f t="shared" si="39"/>
        <v>50005.097208490661</v>
      </c>
      <c r="AN89" s="44">
        <f t="shared" si="54"/>
        <v>112</v>
      </c>
      <c r="AO89" s="45">
        <f t="shared" si="5"/>
        <v>60838.846653504297</v>
      </c>
      <c r="AP89" s="3"/>
      <c r="AQ89" s="46">
        <f t="shared" si="47"/>
        <v>52</v>
      </c>
      <c r="AR89" s="47">
        <f t="shared" si="40"/>
        <v>35276.070999381329</v>
      </c>
      <c r="AS89" s="46">
        <f t="shared" si="55"/>
        <v>112</v>
      </c>
      <c r="AT89" s="47">
        <f t="shared" si="6"/>
        <v>42918.734166665759</v>
      </c>
      <c r="AV89" s="41">
        <f t="shared" si="69"/>
        <v>0</v>
      </c>
      <c r="AW89" s="41">
        <f t="shared" si="70"/>
        <v>0</v>
      </c>
      <c r="AX89" s="43">
        <f t="shared" si="9"/>
        <v>0</v>
      </c>
      <c r="AY89" s="43">
        <f t="shared" si="10"/>
        <v>0</v>
      </c>
      <c r="AZ89" s="11"/>
      <c r="BA89" s="36">
        <f t="shared" si="76"/>
        <v>52</v>
      </c>
      <c r="BB89" s="35">
        <f t="shared" si="82"/>
        <v>50005.097208490661</v>
      </c>
      <c r="BC89" s="120"/>
      <c r="BD89" s="307">
        <f t="shared" si="77"/>
        <v>52</v>
      </c>
      <c r="BE89" s="303">
        <f t="shared" si="78"/>
        <v>35276.070999381329</v>
      </c>
      <c r="BF89" s="208"/>
      <c r="BG89" s="37">
        <f t="shared" si="50"/>
        <v>52</v>
      </c>
      <c r="BH89" s="8">
        <f t="shared" si="71"/>
        <v>398.96856330239996</v>
      </c>
      <c r="BI89" s="8"/>
      <c r="BJ89" s="37">
        <f t="shared" si="51"/>
        <v>52</v>
      </c>
      <c r="BK89" s="8">
        <f t="shared" si="72"/>
        <v>0</v>
      </c>
      <c r="BL89" s="8"/>
      <c r="BM89" s="4">
        <v>51</v>
      </c>
      <c r="BN89" s="14">
        <f t="shared" si="14"/>
        <v>34038.275964023334</v>
      </c>
      <c r="BO89" s="14">
        <f t="shared" si="73"/>
        <v>8577.6455429338803</v>
      </c>
      <c r="BP89" s="14">
        <f t="shared" si="42"/>
        <v>1372.423286869421</v>
      </c>
      <c r="BQ89" s="14">
        <f t="shared" si="16"/>
        <v>3063.4448367620998</v>
      </c>
      <c r="BR89" s="38">
        <f t="shared" si="74"/>
        <v>47051.789630588741</v>
      </c>
      <c r="BT89" s="4">
        <v>51</v>
      </c>
      <c r="BU89" s="14">
        <f>SUM(BN$39:BN89)</f>
        <v>1399683.6316120692</v>
      </c>
      <c r="BV89" s="14">
        <f>SUM(BO$39:BO89)</f>
        <v>352720.27516624198</v>
      </c>
      <c r="BW89" s="14">
        <f>SUM(BP$39:BP89)</f>
        <v>56435.244026598688</v>
      </c>
      <c r="BX89" s="14">
        <f>SUM(BQ$39:BQ89)</f>
        <v>125971.52684508634</v>
      </c>
      <c r="BY89" s="21">
        <f>SUM(BR$39:BR89)</f>
        <v>1934810.6776499962</v>
      </c>
    </row>
    <row r="90" spans="1:77" ht="18" customHeight="1" x14ac:dyDescent="0.25">
      <c r="A90" s="268"/>
      <c r="B90" s="267">
        <f t="shared" si="52"/>
        <v>52</v>
      </c>
      <c r="C90" s="264">
        <f t="shared" si="43"/>
        <v>53</v>
      </c>
      <c r="D90" s="265">
        <f t="shared" si="19"/>
        <v>50005.097208490661</v>
      </c>
      <c r="E90" s="266">
        <f t="shared" si="20"/>
        <v>38215.379626666661</v>
      </c>
      <c r="F90" s="266">
        <f t="shared" si="59"/>
        <v>6878.7683327999994</v>
      </c>
      <c r="G90" s="266">
        <f t="shared" si="22"/>
        <v>1100.602933248</v>
      </c>
      <c r="H90" s="266">
        <f t="shared" si="23"/>
        <v>2456.702976</v>
      </c>
      <c r="I90" s="266">
        <f t="shared" si="24"/>
        <v>1353.6433397759999</v>
      </c>
      <c r="J90" s="435"/>
      <c r="K90" s="317">
        <f t="shared" si="25"/>
        <v>0</v>
      </c>
      <c r="L90" s="317">
        <f t="shared" si="79"/>
        <v>0</v>
      </c>
      <c r="M90" s="317">
        <f t="shared" si="27"/>
        <v>0</v>
      </c>
      <c r="N90" s="347">
        <f t="shared" si="28"/>
        <v>0</v>
      </c>
      <c r="O90" s="267">
        <f t="shared" si="53"/>
        <v>112</v>
      </c>
      <c r="P90" s="264">
        <f t="shared" si="75"/>
        <v>113</v>
      </c>
      <c r="Q90" s="265">
        <f t="shared" si="30"/>
        <v>60838.846653504297</v>
      </c>
      <c r="R90" s="266">
        <f t="shared" si="31"/>
        <v>46494.852539101819</v>
      </c>
      <c r="S90" s="266">
        <f t="shared" si="32"/>
        <v>8369.0734570383283</v>
      </c>
      <c r="T90" s="266">
        <f t="shared" si="33"/>
        <v>1339.0517531261326</v>
      </c>
      <c r="U90" s="266">
        <f t="shared" si="34"/>
        <v>2988.9548060851171</v>
      </c>
      <c r="V90" s="266">
        <f t="shared" si="35"/>
        <v>1646.9140981528997</v>
      </c>
      <c r="W90" s="316"/>
      <c r="X90" s="317">
        <f t="shared" si="66"/>
        <v>0</v>
      </c>
      <c r="Y90" s="317">
        <f t="shared" si="67"/>
        <v>0</v>
      </c>
      <c r="Z90" s="317">
        <f t="shared" si="68"/>
        <v>0</v>
      </c>
      <c r="AA90" s="347">
        <f t="shared" si="36"/>
        <v>0</v>
      </c>
      <c r="AB90" s="309"/>
      <c r="AC90" s="132"/>
      <c r="AD90" s="136"/>
      <c r="AE90" s="136"/>
      <c r="AF90" s="132"/>
      <c r="AG90" s="13">
        <f t="shared" si="37"/>
        <v>52</v>
      </c>
      <c r="AH90" s="14">
        <f t="shared" si="83"/>
        <v>6126889.6735242</v>
      </c>
      <c r="AI90" s="44">
        <f t="shared" si="44"/>
        <v>53</v>
      </c>
      <c r="AJ90" s="55">
        <f t="shared" si="84"/>
        <v>4913405.9519999996</v>
      </c>
      <c r="AK90" s="59">
        <v>4</v>
      </c>
      <c r="AL90" s="44">
        <f t="shared" si="46"/>
        <v>53</v>
      </c>
      <c r="AM90" s="45">
        <f t="shared" si="39"/>
        <v>50005.097208490661</v>
      </c>
      <c r="AN90" s="44">
        <f t="shared" si="54"/>
        <v>113</v>
      </c>
      <c r="AO90" s="45">
        <f t="shared" si="5"/>
        <v>60838.846653504297</v>
      </c>
      <c r="AP90" s="3"/>
      <c r="AQ90" s="46">
        <f t="shared" si="47"/>
        <v>53</v>
      </c>
      <c r="AR90" s="47">
        <f t="shared" si="40"/>
        <v>35276.070999381329</v>
      </c>
      <c r="AS90" s="46">
        <f t="shared" si="55"/>
        <v>113</v>
      </c>
      <c r="AT90" s="47">
        <f t="shared" si="6"/>
        <v>42918.734166665759</v>
      </c>
      <c r="AV90" s="41">
        <f t="shared" si="69"/>
        <v>0</v>
      </c>
      <c r="AW90" s="41">
        <f t="shared" si="70"/>
        <v>0</v>
      </c>
      <c r="AX90" s="43">
        <f t="shared" si="9"/>
        <v>0</v>
      </c>
      <c r="AY90" s="43">
        <f t="shared" si="10"/>
        <v>0</v>
      </c>
      <c r="AZ90" s="11"/>
      <c r="BA90" s="36">
        <f t="shared" si="76"/>
        <v>53</v>
      </c>
      <c r="BB90" s="35">
        <f t="shared" si="82"/>
        <v>50005.097208490661</v>
      </c>
      <c r="BC90" s="120"/>
      <c r="BD90" s="307">
        <f t="shared" si="77"/>
        <v>53</v>
      </c>
      <c r="BE90" s="303">
        <f t="shared" si="78"/>
        <v>35276.070999381329</v>
      </c>
      <c r="BF90" s="208"/>
      <c r="BG90" s="37">
        <f t="shared" si="50"/>
        <v>53</v>
      </c>
      <c r="BH90" s="8">
        <f t="shared" si="71"/>
        <v>398.96856330239996</v>
      </c>
      <c r="BI90" s="8"/>
      <c r="BJ90" s="37">
        <f t="shared" si="51"/>
        <v>53</v>
      </c>
      <c r="BK90" s="8">
        <f t="shared" si="72"/>
        <v>0</v>
      </c>
      <c r="BL90" s="8"/>
      <c r="BM90" s="4">
        <v>52</v>
      </c>
      <c r="BN90" s="14">
        <f t="shared" si="14"/>
        <v>34038.275964023334</v>
      </c>
      <c r="BO90" s="14">
        <f t="shared" si="73"/>
        <v>8577.6455429338803</v>
      </c>
      <c r="BP90" s="14">
        <f t="shared" si="42"/>
        <v>1372.423286869421</v>
      </c>
      <c r="BQ90" s="14">
        <f t="shared" si="16"/>
        <v>3063.4448367620998</v>
      </c>
      <c r="BR90" s="38">
        <f t="shared" si="74"/>
        <v>47051.789630588741</v>
      </c>
      <c r="BT90" s="4">
        <v>52</v>
      </c>
      <c r="BU90" s="14">
        <f>SUM(BN$39:BN90)</f>
        <v>1433721.9075760925</v>
      </c>
      <c r="BV90" s="14">
        <f>SUM(BO$39:BO90)</f>
        <v>361297.92070917587</v>
      </c>
      <c r="BW90" s="14">
        <f>SUM(BP$39:BP90)</f>
        <v>57807.667313468111</v>
      </c>
      <c r="BX90" s="14">
        <f>SUM(BQ$39:BQ90)</f>
        <v>129034.97168184843</v>
      </c>
      <c r="BY90" s="21">
        <f>SUM(BR$39:BR90)</f>
        <v>1981862.4672805851</v>
      </c>
    </row>
    <row r="91" spans="1:77" ht="18" customHeight="1" x14ac:dyDescent="0.25">
      <c r="A91" s="268"/>
      <c r="B91" s="267">
        <f t="shared" si="52"/>
        <v>53</v>
      </c>
      <c r="C91" s="264">
        <f t="shared" si="43"/>
        <v>54</v>
      </c>
      <c r="D91" s="265">
        <f t="shared" si="19"/>
        <v>50005.097208490661</v>
      </c>
      <c r="E91" s="266">
        <f t="shared" si="20"/>
        <v>38215.379626666661</v>
      </c>
      <c r="F91" s="266">
        <f t="shared" si="59"/>
        <v>6878.7683327999994</v>
      </c>
      <c r="G91" s="266">
        <f t="shared" si="22"/>
        <v>1100.602933248</v>
      </c>
      <c r="H91" s="266">
        <f t="shared" si="23"/>
        <v>2456.702976</v>
      </c>
      <c r="I91" s="266">
        <f t="shared" si="24"/>
        <v>1353.6433397759999</v>
      </c>
      <c r="J91" s="435"/>
      <c r="K91" s="317">
        <f t="shared" si="25"/>
        <v>0</v>
      </c>
      <c r="L91" s="317">
        <f t="shared" si="79"/>
        <v>0</v>
      </c>
      <c r="M91" s="317">
        <f t="shared" si="27"/>
        <v>0</v>
      </c>
      <c r="N91" s="347">
        <f t="shared" si="28"/>
        <v>0</v>
      </c>
      <c r="O91" s="267">
        <f t="shared" si="53"/>
        <v>113</v>
      </c>
      <c r="P91" s="264">
        <f t="shared" si="75"/>
        <v>114</v>
      </c>
      <c r="Q91" s="265">
        <f t="shared" si="30"/>
        <v>60838.846653504297</v>
      </c>
      <c r="R91" s="266">
        <f t="shared" si="31"/>
        <v>46494.852539101819</v>
      </c>
      <c r="S91" s="266">
        <f t="shared" si="32"/>
        <v>8369.0734570383283</v>
      </c>
      <c r="T91" s="266">
        <f t="shared" si="33"/>
        <v>1339.0517531261326</v>
      </c>
      <c r="U91" s="266">
        <f t="shared" si="34"/>
        <v>2988.9548060851171</v>
      </c>
      <c r="V91" s="266">
        <f t="shared" si="35"/>
        <v>1646.9140981528997</v>
      </c>
      <c r="W91" s="316"/>
      <c r="X91" s="317">
        <f t="shared" si="66"/>
        <v>0</v>
      </c>
      <c r="Y91" s="317">
        <f t="shared" si="67"/>
        <v>0</v>
      </c>
      <c r="Z91" s="317">
        <f t="shared" si="68"/>
        <v>0</v>
      </c>
      <c r="AA91" s="347">
        <f t="shared" si="36"/>
        <v>0</v>
      </c>
      <c r="AB91" s="309"/>
      <c r="AC91" s="132"/>
      <c r="AD91" s="136"/>
      <c r="AE91" s="136"/>
      <c r="AF91" s="132"/>
      <c r="AG91" s="13">
        <f t="shared" si="37"/>
        <v>53</v>
      </c>
      <c r="AH91" s="14">
        <f t="shared" si="83"/>
        <v>6126889.6735242</v>
      </c>
      <c r="AI91" s="44">
        <f t="shared" si="44"/>
        <v>54</v>
      </c>
      <c r="AJ91" s="55">
        <f t="shared" si="84"/>
        <v>4913405.9519999996</v>
      </c>
      <c r="AK91" s="59">
        <v>5</v>
      </c>
      <c r="AL91" s="44">
        <f t="shared" si="46"/>
        <v>54</v>
      </c>
      <c r="AM91" s="45">
        <f t="shared" si="39"/>
        <v>50005.097208490661</v>
      </c>
      <c r="AN91" s="44">
        <f t="shared" si="54"/>
        <v>114</v>
      </c>
      <c r="AO91" s="45">
        <f t="shared" si="5"/>
        <v>60838.846653504297</v>
      </c>
      <c r="AP91" s="3"/>
      <c r="AQ91" s="46">
        <f t="shared" si="47"/>
        <v>54</v>
      </c>
      <c r="AR91" s="47">
        <f t="shared" si="40"/>
        <v>35276.070999381329</v>
      </c>
      <c r="AS91" s="46">
        <f t="shared" si="55"/>
        <v>114</v>
      </c>
      <c r="AT91" s="47">
        <f t="shared" si="6"/>
        <v>42918.734166665759</v>
      </c>
      <c r="AV91" s="41">
        <f t="shared" si="69"/>
        <v>0</v>
      </c>
      <c r="AW91" s="41">
        <f t="shared" si="70"/>
        <v>0</v>
      </c>
      <c r="AX91" s="43">
        <f t="shared" si="9"/>
        <v>0</v>
      </c>
      <c r="AY91" s="43">
        <f t="shared" si="10"/>
        <v>0</v>
      </c>
      <c r="AZ91" s="11"/>
      <c r="BA91" s="36">
        <f t="shared" si="76"/>
        <v>54</v>
      </c>
      <c r="BB91" s="35">
        <f t="shared" si="82"/>
        <v>50005.097208490661</v>
      </c>
      <c r="BC91" s="120"/>
      <c r="BD91" s="307">
        <f t="shared" si="77"/>
        <v>54</v>
      </c>
      <c r="BE91" s="303">
        <f t="shared" si="78"/>
        <v>35276.070999381329</v>
      </c>
      <c r="BF91" s="208"/>
      <c r="BG91" s="37">
        <f t="shared" si="50"/>
        <v>54</v>
      </c>
      <c r="BH91" s="8">
        <f t="shared" si="71"/>
        <v>398.96856330239996</v>
      </c>
      <c r="BI91" s="8"/>
      <c r="BJ91" s="37">
        <f t="shared" si="51"/>
        <v>54</v>
      </c>
      <c r="BK91" s="8">
        <f t="shared" si="72"/>
        <v>0</v>
      </c>
      <c r="BL91" s="8"/>
      <c r="BM91" s="4">
        <v>53</v>
      </c>
      <c r="BN91" s="14">
        <f t="shared" si="14"/>
        <v>34038.275964023334</v>
      </c>
      <c r="BO91" s="14">
        <f t="shared" si="73"/>
        <v>8577.6455429338803</v>
      </c>
      <c r="BP91" s="14">
        <f t="shared" si="42"/>
        <v>1372.423286869421</v>
      </c>
      <c r="BQ91" s="14">
        <f t="shared" si="16"/>
        <v>3063.4448367620998</v>
      </c>
      <c r="BR91" s="38">
        <f t="shared" si="74"/>
        <v>47051.789630588741</v>
      </c>
      <c r="BT91" s="4">
        <v>53</v>
      </c>
      <c r="BU91" s="14">
        <f>SUM(BN$39:BN91)</f>
        <v>1467760.1835401158</v>
      </c>
      <c r="BV91" s="14">
        <f>SUM(BO$39:BO91)</f>
        <v>369875.56625210977</v>
      </c>
      <c r="BW91" s="14">
        <f>SUM(BP$39:BP91)</f>
        <v>59180.090600337535</v>
      </c>
      <c r="BX91" s="14">
        <f>SUM(BQ$39:BQ91)</f>
        <v>132098.41651861052</v>
      </c>
      <c r="BY91" s="21">
        <f>SUM(BR$39:BR91)</f>
        <v>2028914.2569111739</v>
      </c>
    </row>
    <row r="92" spans="1:77" ht="18" customHeight="1" x14ac:dyDescent="0.25">
      <c r="A92" s="268"/>
      <c r="B92" s="267">
        <f t="shared" si="52"/>
        <v>54</v>
      </c>
      <c r="C92" s="264">
        <f t="shared" si="43"/>
        <v>55</v>
      </c>
      <c r="D92" s="265">
        <f t="shared" si="19"/>
        <v>50005.097208490661</v>
      </c>
      <c r="E92" s="266">
        <f t="shared" si="20"/>
        <v>38215.379626666661</v>
      </c>
      <c r="F92" s="266">
        <f t="shared" si="59"/>
        <v>6878.7683327999994</v>
      </c>
      <c r="G92" s="266">
        <f t="shared" si="22"/>
        <v>1100.602933248</v>
      </c>
      <c r="H92" s="266">
        <f t="shared" si="23"/>
        <v>2456.702976</v>
      </c>
      <c r="I92" s="266">
        <f t="shared" si="24"/>
        <v>1353.6433397759999</v>
      </c>
      <c r="J92" s="435"/>
      <c r="K92" s="317">
        <f t="shared" si="25"/>
        <v>0</v>
      </c>
      <c r="L92" s="317">
        <f t="shared" si="79"/>
        <v>0</v>
      </c>
      <c r="M92" s="317">
        <f t="shared" si="27"/>
        <v>0</v>
      </c>
      <c r="N92" s="347">
        <f t="shared" si="28"/>
        <v>0</v>
      </c>
      <c r="O92" s="267">
        <f t="shared" si="53"/>
        <v>114</v>
      </c>
      <c r="P92" s="264">
        <f t="shared" si="75"/>
        <v>115</v>
      </c>
      <c r="Q92" s="265">
        <f t="shared" si="30"/>
        <v>60838.846653504297</v>
      </c>
      <c r="R92" s="266">
        <f t="shared" si="31"/>
        <v>46494.852539101819</v>
      </c>
      <c r="S92" s="266">
        <f t="shared" si="32"/>
        <v>8369.0734570383283</v>
      </c>
      <c r="T92" s="266">
        <f t="shared" si="33"/>
        <v>1339.0517531261326</v>
      </c>
      <c r="U92" s="266">
        <f t="shared" si="34"/>
        <v>2988.9548060851171</v>
      </c>
      <c r="V92" s="266">
        <f t="shared" si="35"/>
        <v>1646.9140981528997</v>
      </c>
      <c r="W92" s="316"/>
      <c r="X92" s="317">
        <f t="shared" si="66"/>
        <v>0</v>
      </c>
      <c r="Y92" s="317">
        <f t="shared" si="67"/>
        <v>0</v>
      </c>
      <c r="Z92" s="317">
        <f t="shared" si="68"/>
        <v>0</v>
      </c>
      <c r="AA92" s="347">
        <f t="shared" si="36"/>
        <v>0</v>
      </c>
      <c r="AB92" s="309"/>
      <c r="AC92" s="132"/>
      <c r="AD92" s="136"/>
      <c r="AE92" s="136"/>
      <c r="AF92" s="132"/>
      <c r="AG92" s="13">
        <f t="shared" si="37"/>
        <v>54</v>
      </c>
      <c r="AH92" s="14">
        <f t="shared" si="83"/>
        <v>6126889.6735242</v>
      </c>
      <c r="AI92" s="44">
        <f t="shared" si="44"/>
        <v>55</v>
      </c>
      <c r="AJ92" s="55">
        <f t="shared" si="84"/>
        <v>4913405.9519999996</v>
      </c>
      <c r="AK92" s="59">
        <v>6</v>
      </c>
      <c r="AL92" s="44">
        <f t="shared" si="46"/>
        <v>55</v>
      </c>
      <c r="AM92" s="45">
        <f t="shared" si="39"/>
        <v>50005.097208490661</v>
      </c>
      <c r="AN92" s="44">
        <f t="shared" si="54"/>
        <v>115</v>
      </c>
      <c r="AO92" s="45">
        <f t="shared" si="5"/>
        <v>60838.846653504297</v>
      </c>
      <c r="AP92" s="3"/>
      <c r="AQ92" s="46">
        <f t="shared" si="47"/>
        <v>55</v>
      </c>
      <c r="AR92" s="47">
        <f t="shared" si="40"/>
        <v>35276.070999381329</v>
      </c>
      <c r="AS92" s="46">
        <f t="shared" si="55"/>
        <v>115</v>
      </c>
      <c r="AT92" s="47">
        <f t="shared" si="6"/>
        <v>42918.734166665759</v>
      </c>
      <c r="AV92" s="41">
        <f t="shared" si="69"/>
        <v>0</v>
      </c>
      <c r="AW92" s="41">
        <f t="shared" si="70"/>
        <v>0</v>
      </c>
      <c r="AX92" s="43">
        <f t="shared" si="9"/>
        <v>0</v>
      </c>
      <c r="AY92" s="43">
        <f t="shared" si="10"/>
        <v>0</v>
      </c>
      <c r="AZ92" s="11"/>
      <c r="BA92" s="36">
        <f t="shared" si="76"/>
        <v>55</v>
      </c>
      <c r="BB92" s="35">
        <f t="shared" si="82"/>
        <v>50005.097208490661</v>
      </c>
      <c r="BC92" s="120"/>
      <c r="BD92" s="307">
        <f t="shared" si="77"/>
        <v>55</v>
      </c>
      <c r="BE92" s="303">
        <f t="shared" si="78"/>
        <v>35276.070999381329</v>
      </c>
      <c r="BF92" s="208"/>
      <c r="BG92" s="37">
        <f t="shared" si="50"/>
        <v>55</v>
      </c>
      <c r="BH92" s="8">
        <f t="shared" si="71"/>
        <v>398.96856330239996</v>
      </c>
      <c r="BI92" s="8"/>
      <c r="BJ92" s="37">
        <f t="shared" si="51"/>
        <v>55</v>
      </c>
      <c r="BK92" s="8">
        <f t="shared" si="72"/>
        <v>0</v>
      </c>
      <c r="BL92" s="8"/>
      <c r="BM92" s="4">
        <v>54</v>
      </c>
      <c r="BN92" s="14">
        <f t="shared" si="14"/>
        <v>34038.275964023334</v>
      </c>
      <c r="BO92" s="14">
        <f t="shared" si="73"/>
        <v>8577.6455429338803</v>
      </c>
      <c r="BP92" s="14">
        <f t="shared" si="42"/>
        <v>1372.423286869421</v>
      </c>
      <c r="BQ92" s="14">
        <f t="shared" si="16"/>
        <v>3063.4448367620998</v>
      </c>
      <c r="BR92" s="38">
        <f t="shared" si="74"/>
        <v>47051.789630588741</v>
      </c>
      <c r="BT92" s="4">
        <v>54</v>
      </c>
      <c r="BU92" s="14">
        <f>SUM(BN$39:BN92)</f>
        <v>1501798.4595041391</v>
      </c>
      <c r="BV92" s="14">
        <f>SUM(BO$39:BO92)</f>
        <v>378453.21179504367</v>
      </c>
      <c r="BW92" s="14">
        <f>SUM(BP$39:BP92)</f>
        <v>60552.513887206958</v>
      </c>
      <c r="BX92" s="14">
        <f>SUM(BQ$39:BQ92)</f>
        <v>135161.86135537262</v>
      </c>
      <c r="BY92" s="21">
        <f>SUM(BR$39:BR92)</f>
        <v>2075966.0465417628</v>
      </c>
    </row>
    <row r="93" spans="1:77" ht="18" customHeight="1" x14ac:dyDescent="0.25">
      <c r="A93" s="268"/>
      <c r="B93" s="267">
        <f t="shared" si="52"/>
        <v>55</v>
      </c>
      <c r="C93" s="264">
        <f t="shared" si="43"/>
        <v>56</v>
      </c>
      <c r="D93" s="265">
        <f t="shared" si="19"/>
        <v>50005.097208490661</v>
      </c>
      <c r="E93" s="266">
        <f t="shared" si="20"/>
        <v>38215.379626666661</v>
      </c>
      <c r="F93" s="266">
        <f t="shared" si="59"/>
        <v>6878.7683327999994</v>
      </c>
      <c r="G93" s="266">
        <f t="shared" si="22"/>
        <v>1100.602933248</v>
      </c>
      <c r="H93" s="266">
        <f t="shared" si="23"/>
        <v>2456.702976</v>
      </c>
      <c r="I93" s="266">
        <f t="shared" si="24"/>
        <v>1353.6433397759999</v>
      </c>
      <c r="J93" s="435"/>
      <c r="K93" s="317">
        <f t="shared" si="25"/>
        <v>0</v>
      </c>
      <c r="L93" s="317">
        <f t="shared" si="79"/>
        <v>0</v>
      </c>
      <c r="M93" s="317">
        <f t="shared" si="27"/>
        <v>0</v>
      </c>
      <c r="N93" s="347">
        <f t="shared" si="28"/>
        <v>0</v>
      </c>
      <c r="O93" s="267">
        <f t="shared" si="53"/>
        <v>115</v>
      </c>
      <c r="P93" s="264">
        <f t="shared" si="75"/>
        <v>116</v>
      </c>
      <c r="Q93" s="265">
        <f t="shared" si="30"/>
        <v>60838.846653504297</v>
      </c>
      <c r="R93" s="266">
        <f t="shared" si="31"/>
        <v>46494.852539101819</v>
      </c>
      <c r="S93" s="266">
        <f t="shared" si="32"/>
        <v>8369.0734570383283</v>
      </c>
      <c r="T93" s="266">
        <f t="shared" si="33"/>
        <v>1339.0517531261326</v>
      </c>
      <c r="U93" s="266">
        <f t="shared" si="34"/>
        <v>2988.9548060851171</v>
      </c>
      <c r="V93" s="266">
        <f t="shared" si="35"/>
        <v>1646.9140981528997</v>
      </c>
      <c r="W93" s="316"/>
      <c r="X93" s="317">
        <f t="shared" si="66"/>
        <v>0</v>
      </c>
      <c r="Y93" s="317">
        <f t="shared" si="67"/>
        <v>0</v>
      </c>
      <c r="Z93" s="317">
        <f t="shared" si="68"/>
        <v>0</v>
      </c>
      <c r="AA93" s="347">
        <f t="shared" si="36"/>
        <v>0</v>
      </c>
      <c r="AB93" s="309"/>
      <c r="AC93" s="132"/>
      <c r="AD93" s="136"/>
      <c r="AE93" s="136"/>
      <c r="AF93" s="132"/>
      <c r="AG93" s="13">
        <f t="shared" si="37"/>
        <v>55</v>
      </c>
      <c r="AH93" s="14">
        <f t="shared" si="83"/>
        <v>6126889.6735242</v>
      </c>
      <c r="AI93" s="44">
        <f t="shared" si="44"/>
        <v>56</v>
      </c>
      <c r="AJ93" s="55">
        <f t="shared" si="84"/>
        <v>4913405.9519999996</v>
      </c>
      <c r="AK93" s="59">
        <v>7</v>
      </c>
      <c r="AL93" s="44">
        <f t="shared" si="46"/>
        <v>56</v>
      </c>
      <c r="AM93" s="45">
        <f t="shared" si="39"/>
        <v>50005.097208490661</v>
      </c>
      <c r="AN93" s="44">
        <f t="shared" si="54"/>
        <v>116</v>
      </c>
      <c r="AO93" s="45">
        <f t="shared" si="5"/>
        <v>60838.846653504297</v>
      </c>
      <c r="AP93" s="3"/>
      <c r="AQ93" s="46">
        <f t="shared" si="47"/>
        <v>56</v>
      </c>
      <c r="AR93" s="47">
        <f t="shared" si="40"/>
        <v>35276.070999381329</v>
      </c>
      <c r="AS93" s="46">
        <f t="shared" si="55"/>
        <v>116</v>
      </c>
      <c r="AT93" s="47">
        <f t="shared" si="6"/>
        <v>42918.734166665759</v>
      </c>
      <c r="AV93" s="41">
        <f t="shared" si="69"/>
        <v>0</v>
      </c>
      <c r="AW93" s="41">
        <f t="shared" si="70"/>
        <v>0</v>
      </c>
      <c r="AX93" s="43">
        <f t="shared" si="9"/>
        <v>0</v>
      </c>
      <c r="AY93" s="43">
        <f t="shared" si="10"/>
        <v>0</v>
      </c>
      <c r="AZ93" s="11"/>
      <c r="BA93" s="36">
        <f t="shared" si="76"/>
        <v>56</v>
      </c>
      <c r="BB93" s="35">
        <f t="shared" si="82"/>
        <v>50005.097208490661</v>
      </c>
      <c r="BC93" s="120"/>
      <c r="BD93" s="307">
        <f t="shared" si="77"/>
        <v>56</v>
      </c>
      <c r="BE93" s="303">
        <f t="shared" si="78"/>
        <v>35276.070999381329</v>
      </c>
      <c r="BF93" s="208"/>
      <c r="BG93" s="37">
        <f t="shared" si="50"/>
        <v>56</v>
      </c>
      <c r="BH93" s="8">
        <f t="shared" si="71"/>
        <v>398.96856330239996</v>
      </c>
      <c r="BI93" s="8"/>
      <c r="BJ93" s="37">
        <f t="shared" si="51"/>
        <v>56</v>
      </c>
      <c r="BK93" s="8">
        <f t="shared" si="72"/>
        <v>0</v>
      </c>
      <c r="BL93" s="8"/>
      <c r="BM93" s="4">
        <v>55</v>
      </c>
      <c r="BN93" s="14">
        <f t="shared" si="14"/>
        <v>34038.275964023334</v>
      </c>
      <c r="BO93" s="14">
        <f t="shared" si="73"/>
        <v>8577.6455429338803</v>
      </c>
      <c r="BP93" s="14">
        <f t="shared" si="42"/>
        <v>1372.423286869421</v>
      </c>
      <c r="BQ93" s="14">
        <f t="shared" si="16"/>
        <v>3063.4448367620998</v>
      </c>
      <c r="BR93" s="38">
        <f t="shared" si="74"/>
        <v>47051.789630588741</v>
      </c>
      <c r="BT93" s="4">
        <v>55</v>
      </c>
      <c r="BU93" s="14">
        <f>SUM(BN$39:BN93)</f>
        <v>1535836.7354681625</v>
      </c>
      <c r="BV93" s="14">
        <f>SUM(BO$39:BO93)</f>
        <v>387030.85733797756</v>
      </c>
      <c r="BW93" s="14">
        <f>SUM(BP$39:BP93)</f>
        <v>61924.937174076382</v>
      </c>
      <c r="BX93" s="14">
        <f>SUM(BQ$39:BQ93)</f>
        <v>138225.30619213471</v>
      </c>
      <c r="BY93" s="21">
        <f>SUM(BR$39:BR93)</f>
        <v>2123017.8361723516</v>
      </c>
    </row>
    <row r="94" spans="1:77" ht="18" customHeight="1" x14ac:dyDescent="0.25">
      <c r="A94" s="268"/>
      <c r="B94" s="267">
        <f t="shared" si="52"/>
        <v>56</v>
      </c>
      <c r="C94" s="264">
        <f t="shared" si="43"/>
        <v>57</v>
      </c>
      <c r="D94" s="265">
        <f t="shared" si="19"/>
        <v>50005.097208490661</v>
      </c>
      <c r="E94" s="266">
        <f t="shared" si="20"/>
        <v>38215.379626666661</v>
      </c>
      <c r="F94" s="266">
        <f t="shared" si="59"/>
        <v>6878.7683327999994</v>
      </c>
      <c r="G94" s="266">
        <f t="shared" si="22"/>
        <v>1100.602933248</v>
      </c>
      <c r="H94" s="266">
        <f t="shared" si="23"/>
        <v>2456.702976</v>
      </c>
      <c r="I94" s="266">
        <f t="shared" si="24"/>
        <v>1353.6433397759999</v>
      </c>
      <c r="J94" s="435"/>
      <c r="K94" s="317">
        <f t="shared" si="25"/>
        <v>0</v>
      </c>
      <c r="L94" s="317">
        <f t="shared" si="79"/>
        <v>0</v>
      </c>
      <c r="M94" s="317">
        <f t="shared" si="27"/>
        <v>0</v>
      </c>
      <c r="N94" s="347">
        <f t="shared" si="28"/>
        <v>0</v>
      </c>
      <c r="O94" s="267">
        <f t="shared" si="53"/>
        <v>116</v>
      </c>
      <c r="P94" s="264">
        <f t="shared" si="75"/>
        <v>117</v>
      </c>
      <c r="Q94" s="265">
        <f t="shared" si="30"/>
        <v>60838.846653504297</v>
      </c>
      <c r="R94" s="266">
        <f t="shared" si="31"/>
        <v>46494.852539101819</v>
      </c>
      <c r="S94" s="266">
        <f t="shared" si="32"/>
        <v>8369.0734570383283</v>
      </c>
      <c r="T94" s="266">
        <f t="shared" si="33"/>
        <v>1339.0517531261326</v>
      </c>
      <c r="U94" s="266">
        <f t="shared" si="34"/>
        <v>2988.9548060851171</v>
      </c>
      <c r="V94" s="266">
        <f t="shared" si="35"/>
        <v>1646.9140981528997</v>
      </c>
      <c r="W94" s="316"/>
      <c r="X94" s="317">
        <f t="shared" si="66"/>
        <v>0</v>
      </c>
      <c r="Y94" s="317">
        <f t="shared" si="67"/>
        <v>0</v>
      </c>
      <c r="Z94" s="317">
        <f t="shared" si="68"/>
        <v>0</v>
      </c>
      <c r="AA94" s="347">
        <f t="shared" si="36"/>
        <v>0</v>
      </c>
      <c r="AB94" s="309"/>
      <c r="AC94" s="132"/>
      <c r="AD94" s="136"/>
      <c r="AE94" s="136"/>
      <c r="AF94" s="132"/>
      <c r="AG94" s="13">
        <f t="shared" si="37"/>
        <v>56</v>
      </c>
      <c r="AH94" s="14">
        <f t="shared" si="83"/>
        <v>6126889.6735242</v>
      </c>
      <c r="AI94" s="44">
        <f t="shared" si="44"/>
        <v>57</v>
      </c>
      <c r="AJ94" s="55">
        <f t="shared" si="84"/>
        <v>4913405.9519999996</v>
      </c>
      <c r="AK94" s="59">
        <v>8</v>
      </c>
      <c r="AL94" s="44">
        <f t="shared" si="46"/>
        <v>57</v>
      </c>
      <c r="AM94" s="45">
        <f t="shared" si="39"/>
        <v>50005.097208490661</v>
      </c>
      <c r="AN94" s="44">
        <f t="shared" si="54"/>
        <v>117</v>
      </c>
      <c r="AO94" s="45">
        <f t="shared" si="5"/>
        <v>60838.846653504297</v>
      </c>
      <c r="AP94" s="3"/>
      <c r="AQ94" s="46">
        <f t="shared" si="47"/>
        <v>57</v>
      </c>
      <c r="AR94" s="47">
        <f t="shared" si="40"/>
        <v>35276.070999381329</v>
      </c>
      <c r="AS94" s="46">
        <f t="shared" si="55"/>
        <v>117</v>
      </c>
      <c r="AT94" s="47">
        <f t="shared" si="6"/>
        <v>42918.734166665759</v>
      </c>
      <c r="AV94" s="41">
        <f t="shared" si="69"/>
        <v>0</v>
      </c>
      <c r="AW94" s="41">
        <f t="shared" si="70"/>
        <v>0</v>
      </c>
      <c r="AX94" s="43">
        <f t="shared" si="9"/>
        <v>0</v>
      </c>
      <c r="AY94" s="43">
        <f t="shared" si="10"/>
        <v>0</v>
      </c>
      <c r="AZ94" s="11"/>
      <c r="BA94" s="36">
        <f t="shared" si="76"/>
        <v>57</v>
      </c>
      <c r="BB94" s="35">
        <f t="shared" si="82"/>
        <v>50005.097208490661</v>
      </c>
      <c r="BC94" s="120"/>
      <c r="BD94" s="307">
        <f t="shared" si="77"/>
        <v>57</v>
      </c>
      <c r="BE94" s="303">
        <f t="shared" si="78"/>
        <v>35276.070999381329</v>
      </c>
      <c r="BF94" s="208"/>
      <c r="BG94" s="37">
        <f t="shared" si="50"/>
        <v>57</v>
      </c>
      <c r="BH94" s="8">
        <f t="shared" si="71"/>
        <v>398.96856330239996</v>
      </c>
      <c r="BI94" s="8"/>
      <c r="BJ94" s="37">
        <f t="shared" si="51"/>
        <v>57</v>
      </c>
      <c r="BK94" s="8">
        <f t="shared" si="72"/>
        <v>0</v>
      </c>
      <c r="BL94" s="8"/>
      <c r="BM94" s="4">
        <v>56</v>
      </c>
      <c r="BN94" s="14">
        <f t="shared" si="14"/>
        <v>34038.275964023334</v>
      </c>
      <c r="BO94" s="14">
        <f t="shared" si="73"/>
        <v>8577.6455429338803</v>
      </c>
      <c r="BP94" s="14">
        <f t="shared" si="42"/>
        <v>1372.423286869421</v>
      </c>
      <c r="BQ94" s="14">
        <f t="shared" si="16"/>
        <v>3063.4448367620998</v>
      </c>
      <c r="BR94" s="38">
        <f t="shared" si="74"/>
        <v>47051.789630588741</v>
      </c>
      <c r="BT94" s="4">
        <v>56</v>
      </c>
      <c r="BU94" s="14">
        <f>SUM(BN$39:BN94)</f>
        <v>1569875.0114321858</v>
      </c>
      <c r="BV94" s="14">
        <f>SUM(BO$39:BO94)</f>
        <v>395608.50288091146</v>
      </c>
      <c r="BW94" s="14">
        <f>SUM(BP$39:BP94)</f>
        <v>63297.360460945805</v>
      </c>
      <c r="BX94" s="14">
        <f>SUM(BQ$39:BQ94)</f>
        <v>141288.7510288968</v>
      </c>
      <c r="BY94" s="21">
        <f>SUM(BR$39:BR94)</f>
        <v>2170069.6258029402</v>
      </c>
    </row>
    <row r="95" spans="1:77" ht="18" customHeight="1" x14ac:dyDescent="0.25">
      <c r="A95" s="268"/>
      <c r="B95" s="267">
        <f t="shared" si="52"/>
        <v>57</v>
      </c>
      <c r="C95" s="264">
        <f t="shared" si="43"/>
        <v>58</v>
      </c>
      <c r="D95" s="265">
        <f t="shared" si="19"/>
        <v>50005.097208490661</v>
      </c>
      <c r="E95" s="266">
        <f t="shared" si="20"/>
        <v>38215.379626666661</v>
      </c>
      <c r="F95" s="266">
        <f t="shared" si="59"/>
        <v>6878.7683327999994</v>
      </c>
      <c r="G95" s="266">
        <f t="shared" si="22"/>
        <v>1100.602933248</v>
      </c>
      <c r="H95" s="266">
        <f t="shared" si="23"/>
        <v>2456.702976</v>
      </c>
      <c r="I95" s="266">
        <f t="shared" si="24"/>
        <v>1353.6433397759999</v>
      </c>
      <c r="J95" s="435"/>
      <c r="K95" s="317">
        <f t="shared" si="25"/>
        <v>0</v>
      </c>
      <c r="L95" s="317">
        <f t="shared" si="79"/>
        <v>0</v>
      </c>
      <c r="M95" s="317">
        <f t="shared" si="27"/>
        <v>0</v>
      </c>
      <c r="N95" s="347">
        <f t="shared" si="28"/>
        <v>0</v>
      </c>
      <c r="O95" s="267">
        <f t="shared" si="53"/>
        <v>117</v>
      </c>
      <c r="P95" s="264">
        <f t="shared" si="75"/>
        <v>118</v>
      </c>
      <c r="Q95" s="265">
        <f t="shared" si="30"/>
        <v>60838.846653504297</v>
      </c>
      <c r="R95" s="266">
        <f t="shared" si="31"/>
        <v>46494.852539101819</v>
      </c>
      <c r="S95" s="266">
        <f t="shared" si="32"/>
        <v>8369.0734570383283</v>
      </c>
      <c r="T95" s="266">
        <f t="shared" si="33"/>
        <v>1339.0517531261326</v>
      </c>
      <c r="U95" s="266">
        <f t="shared" si="34"/>
        <v>2988.9548060851171</v>
      </c>
      <c r="V95" s="266">
        <f t="shared" si="35"/>
        <v>1646.9140981528997</v>
      </c>
      <c r="W95" s="316"/>
      <c r="X95" s="317">
        <f t="shared" si="66"/>
        <v>0</v>
      </c>
      <c r="Y95" s="317">
        <f t="shared" si="67"/>
        <v>0</v>
      </c>
      <c r="Z95" s="317">
        <f t="shared" si="68"/>
        <v>0</v>
      </c>
      <c r="AA95" s="347">
        <f t="shared" si="36"/>
        <v>0</v>
      </c>
      <c r="AB95" s="309"/>
      <c r="AC95" s="132"/>
      <c r="AD95" s="136"/>
      <c r="AE95" s="136"/>
      <c r="AF95" s="132"/>
      <c r="AG95" s="13">
        <f t="shared" si="37"/>
        <v>57</v>
      </c>
      <c r="AH95" s="14">
        <f t="shared" si="83"/>
        <v>6126889.6735242</v>
      </c>
      <c r="AI95" s="44">
        <f t="shared" si="44"/>
        <v>58</v>
      </c>
      <c r="AJ95" s="55">
        <f t="shared" si="84"/>
        <v>4913405.9519999996</v>
      </c>
      <c r="AK95" s="59">
        <v>9</v>
      </c>
      <c r="AL95" s="44">
        <f t="shared" si="46"/>
        <v>58</v>
      </c>
      <c r="AM95" s="45">
        <f t="shared" si="39"/>
        <v>50005.097208490661</v>
      </c>
      <c r="AN95" s="44">
        <f t="shared" si="54"/>
        <v>118</v>
      </c>
      <c r="AO95" s="45">
        <f t="shared" si="5"/>
        <v>60838.846653504297</v>
      </c>
      <c r="AP95" s="3"/>
      <c r="AQ95" s="46">
        <f t="shared" si="47"/>
        <v>58</v>
      </c>
      <c r="AR95" s="47">
        <f t="shared" si="40"/>
        <v>35276.070999381329</v>
      </c>
      <c r="AS95" s="46">
        <f t="shared" si="55"/>
        <v>118</v>
      </c>
      <c r="AT95" s="47">
        <f t="shared" si="6"/>
        <v>42918.734166665759</v>
      </c>
      <c r="AV95" s="41">
        <f t="shared" si="69"/>
        <v>0</v>
      </c>
      <c r="AW95" s="41">
        <f t="shared" si="70"/>
        <v>0</v>
      </c>
      <c r="AX95" s="43">
        <f t="shared" si="9"/>
        <v>0</v>
      </c>
      <c r="AY95" s="43">
        <f t="shared" si="10"/>
        <v>0</v>
      </c>
      <c r="AZ95" s="11"/>
      <c r="BA95" s="36">
        <f t="shared" si="76"/>
        <v>58</v>
      </c>
      <c r="BB95" s="35">
        <f t="shared" si="82"/>
        <v>50005.097208490661</v>
      </c>
      <c r="BC95" s="120"/>
      <c r="BD95" s="307">
        <f t="shared" si="77"/>
        <v>58</v>
      </c>
      <c r="BE95" s="303">
        <f t="shared" si="78"/>
        <v>35276.070999381329</v>
      </c>
      <c r="BF95" s="208"/>
      <c r="BG95" s="37">
        <f t="shared" si="50"/>
        <v>58</v>
      </c>
      <c r="BH95" s="8">
        <f t="shared" si="71"/>
        <v>398.96856330239996</v>
      </c>
      <c r="BI95" s="8"/>
      <c r="BJ95" s="37">
        <f t="shared" si="51"/>
        <v>58</v>
      </c>
      <c r="BK95" s="8">
        <f t="shared" si="72"/>
        <v>0</v>
      </c>
      <c r="BL95" s="8"/>
      <c r="BM95" s="4">
        <v>57</v>
      </c>
      <c r="BN95" s="14">
        <f t="shared" si="14"/>
        <v>34038.275964023334</v>
      </c>
      <c r="BO95" s="14">
        <f t="shared" si="73"/>
        <v>8577.6455429338803</v>
      </c>
      <c r="BP95" s="14">
        <f t="shared" si="42"/>
        <v>1372.423286869421</v>
      </c>
      <c r="BQ95" s="14">
        <f t="shared" si="16"/>
        <v>3063.4448367620998</v>
      </c>
      <c r="BR95" s="38">
        <f t="shared" si="74"/>
        <v>47051.789630588741</v>
      </c>
      <c r="BT95" s="4">
        <v>57</v>
      </c>
      <c r="BU95" s="14">
        <f>SUM(BN$39:BN95)</f>
        <v>1603913.2873962091</v>
      </c>
      <c r="BV95" s="14">
        <f>SUM(BO$39:BO95)</f>
        <v>404186.14842384536</v>
      </c>
      <c r="BW95" s="14">
        <f>SUM(BP$39:BP95)</f>
        <v>64669.783747815229</v>
      </c>
      <c r="BX95" s="14">
        <f>SUM(BQ$39:BQ95)</f>
        <v>144352.1958656589</v>
      </c>
      <c r="BY95" s="21">
        <f>SUM(BR$39:BR95)</f>
        <v>2217121.4154335288</v>
      </c>
    </row>
    <row r="96" spans="1:77" ht="18" customHeight="1" x14ac:dyDescent="0.25">
      <c r="A96" s="268"/>
      <c r="B96" s="267">
        <f t="shared" si="52"/>
        <v>58</v>
      </c>
      <c r="C96" s="264">
        <f t="shared" si="43"/>
        <v>59</v>
      </c>
      <c r="D96" s="265">
        <f t="shared" si="19"/>
        <v>50005.097208490661</v>
      </c>
      <c r="E96" s="266">
        <f t="shared" si="20"/>
        <v>38215.379626666661</v>
      </c>
      <c r="F96" s="266">
        <f t="shared" si="59"/>
        <v>6878.7683327999994</v>
      </c>
      <c r="G96" s="266">
        <f t="shared" si="22"/>
        <v>1100.602933248</v>
      </c>
      <c r="H96" s="266">
        <f t="shared" si="23"/>
        <v>2456.702976</v>
      </c>
      <c r="I96" s="266">
        <f t="shared" si="24"/>
        <v>1353.6433397759999</v>
      </c>
      <c r="J96" s="435"/>
      <c r="K96" s="317">
        <f t="shared" si="25"/>
        <v>0</v>
      </c>
      <c r="L96" s="317">
        <f t="shared" si="79"/>
        <v>0</v>
      </c>
      <c r="M96" s="317">
        <f t="shared" si="27"/>
        <v>0</v>
      </c>
      <c r="N96" s="347">
        <f t="shared" si="28"/>
        <v>0</v>
      </c>
      <c r="O96" s="267">
        <f t="shared" si="53"/>
        <v>118</v>
      </c>
      <c r="P96" s="264">
        <f t="shared" si="75"/>
        <v>119</v>
      </c>
      <c r="Q96" s="265">
        <f t="shared" si="30"/>
        <v>60838.846653504297</v>
      </c>
      <c r="R96" s="266">
        <f t="shared" si="31"/>
        <v>46494.852539101819</v>
      </c>
      <c r="S96" s="266">
        <f t="shared" si="32"/>
        <v>8369.0734570383283</v>
      </c>
      <c r="T96" s="266">
        <f t="shared" si="33"/>
        <v>1339.0517531261326</v>
      </c>
      <c r="U96" s="266">
        <f t="shared" si="34"/>
        <v>2988.9548060851171</v>
      </c>
      <c r="V96" s="266">
        <f t="shared" si="35"/>
        <v>1646.9140981528997</v>
      </c>
      <c r="W96" s="316"/>
      <c r="X96" s="317">
        <f t="shared" si="66"/>
        <v>0</v>
      </c>
      <c r="Y96" s="317">
        <f t="shared" si="67"/>
        <v>0</v>
      </c>
      <c r="Z96" s="317">
        <f t="shared" si="68"/>
        <v>0</v>
      </c>
      <c r="AA96" s="347">
        <f t="shared" si="36"/>
        <v>0</v>
      </c>
      <c r="AB96" s="309"/>
      <c r="AC96" s="132"/>
      <c r="AD96" s="136"/>
      <c r="AE96" s="136"/>
      <c r="AF96" s="132"/>
      <c r="AG96" s="13">
        <f t="shared" si="37"/>
        <v>58</v>
      </c>
      <c r="AH96" s="14">
        <f t="shared" si="83"/>
        <v>6126889.6735242</v>
      </c>
      <c r="AI96" s="44">
        <f t="shared" si="44"/>
        <v>59</v>
      </c>
      <c r="AJ96" s="55">
        <f t="shared" si="84"/>
        <v>4913405.9519999996</v>
      </c>
      <c r="AK96" s="59">
        <v>10</v>
      </c>
      <c r="AL96" s="44">
        <f t="shared" si="46"/>
        <v>59</v>
      </c>
      <c r="AM96" s="45">
        <f t="shared" si="39"/>
        <v>50005.097208490661</v>
      </c>
      <c r="AN96" s="44">
        <f t="shared" si="54"/>
        <v>119</v>
      </c>
      <c r="AO96" s="45">
        <f t="shared" si="5"/>
        <v>60838.846653504297</v>
      </c>
      <c r="AP96" s="3"/>
      <c r="AQ96" s="46">
        <f t="shared" si="47"/>
        <v>59</v>
      </c>
      <c r="AR96" s="47">
        <f t="shared" si="40"/>
        <v>35276.070999381329</v>
      </c>
      <c r="AS96" s="46">
        <f t="shared" si="55"/>
        <v>119</v>
      </c>
      <c r="AT96" s="47">
        <f t="shared" si="6"/>
        <v>42918.734166665759</v>
      </c>
      <c r="AV96" s="41">
        <f t="shared" si="69"/>
        <v>0</v>
      </c>
      <c r="AW96" s="41">
        <f t="shared" si="70"/>
        <v>0</v>
      </c>
      <c r="AX96" s="43">
        <f t="shared" si="9"/>
        <v>0</v>
      </c>
      <c r="AY96" s="43">
        <f t="shared" si="10"/>
        <v>0</v>
      </c>
      <c r="AZ96" s="11"/>
      <c r="BA96" s="36">
        <f t="shared" si="76"/>
        <v>59</v>
      </c>
      <c r="BB96" s="35">
        <f t="shared" si="82"/>
        <v>50005.097208490661</v>
      </c>
      <c r="BC96" s="120"/>
      <c r="BD96" s="307">
        <f t="shared" si="77"/>
        <v>59</v>
      </c>
      <c r="BE96" s="303">
        <f t="shared" si="78"/>
        <v>35276.070999381329</v>
      </c>
      <c r="BF96" s="208"/>
      <c r="BG96" s="37">
        <f t="shared" si="50"/>
        <v>59</v>
      </c>
      <c r="BH96" s="8">
        <f t="shared" si="71"/>
        <v>398.96856330239996</v>
      </c>
      <c r="BI96" s="8"/>
      <c r="BJ96" s="37">
        <f t="shared" si="51"/>
        <v>59</v>
      </c>
      <c r="BK96" s="8">
        <f t="shared" si="72"/>
        <v>0</v>
      </c>
      <c r="BL96" s="8"/>
      <c r="BM96" s="4">
        <v>58</v>
      </c>
      <c r="BN96" s="14">
        <f t="shared" si="14"/>
        <v>34038.275964023334</v>
      </c>
      <c r="BO96" s="14">
        <f t="shared" si="73"/>
        <v>8577.6455429338803</v>
      </c>
      <c r="BP96" s="14">
        <f t="shared" si="42"/>
        <v>1372.423286869421</v>
      </c>
      <c r="BQ96" s="14">
        <f t="shared" si="16"/>
        <v>3063.4448367620998</v>
      </c>
      <c r="BR96" s="38">
        <f t="shared" si="74"/>
        <v>47051.789630588741</v>
      </c>
      <c r="BT96" s="4">
        <v>58</v>
      </c>
      <c r="BU96" s="14">
        <f>SUM(BN$39:BN96)</f>
        <v>1637951.5633602324</v>
      </c>
      <c r="BV96" s="14">
        <f>SUM(BO$39:BO96)</f>
        <v>412763.79396677925</v>
      </c>
      <c r="BW96" s="14">
        <f>SUM(BP$39:BP96)</f>
        <v>66042.207034684645</v>
      </c>
      <c r="BX96" s="14">
        <f>SUM(BQ$39:BQ96)</f>
        <v>147415.64070242099</v>
      </c>
      <c r="BY96" s="21">
        <f>SUM(BR$39:BR96)</f>
        <v>2264173.2050641174</v>
      </c>
    </row>
    <row r="97" spans="1:77" ht="18" customHeight="1" x14ac:dyDescent="0.25">
      <c r="A97" s="268"/>
      <c r="B97" s="267">
        <f t="shared" si="52"/>
        <v>59</v>
      </c>
      <c r="C97" s="264">
        <f t="shared" si="43"/>
        <v>60</v>
      </c>
      <c r="D97" s="265">
        <f t="shared" si="19"/>
        <v>50005.097208490661</v>
      </c>
      <c r="E97" s="266">
        <f t="shared" si="20"/>
        <v>38215.379626666661</v>
      </c>
      <c r="F97" s="266">
        <f t="shared" si="59"/>
        <v>6878.7683327999994</v>
      </c>
      <c r="G97" s="266">
        <f t="shared" si="22"/>
        <v>1100.602933248</v>
      </c>
      <c r="H97" s="266">
        <f t="shared" si="23"/>
        <v>2456.702976</v>
      </c>
      <c r="I97" s="266">
        <f t="shared" si="24"/>
        <v>1353.6433397759999</v>
      </c>
      <c r="J97" s="435"/>
      <c r="K97" s="317">
        <f t="shared" si="25"/>
        <v>0</v>
      </c>
      <c r="L97" s="317">
        <f t="shared" si="79"/>
        <v>0</v>
      </c>
      <c r="M97" s="317">
        <f t="shared" si="27"/>
        <v>0</v>
      </c>
      <c r="N97" s="347">
        <f t="shared" si="28"/>
        <v>0</v>
      </c>
      <c r="O97" s="267">
        <f t="shared" si="53"/>
        <v>119</v>
      </c>
      <c r="P97" s="264">
        <f t="shared" si="75"/>
        <v>120</v>
      </c>
      <c r="Q97" s="265">
        <f t="shared" si="30"/>
        <v>60838.846653504297</v>
      </c>
      <c r="R97" s="266">
        <f t="shared" si="31"/>
        <v>46494.852539101819</v>
      </c>
      <c r="S97" s="266">
        <f t="shared" si="32"/>
        <v>8369.0734570383283</v>
      </c>
      <c r="T97" s="266">
        <f t="shared" si="33"/>
        <v>1339.0517531261326</v>
      </c>
      <c r="U97" s="266">
        <f t="shared" si="34"/>
        <v>2988.9548060851171</v>
      </c>
      <c r="V97" s="266">
        <f t="shared" si="35"/>
        <v>1646.9140981528997</v>
      </c>
      <c r="W97" s="316"/>
      <c r="X97" s="317">
        <f t="shared" si="66"/>
        <v>0</v>
      </c>
      <c r="Y97" s="317">
        <f t="shared" si="67"/>
        <v>0</v>
      </c>
      <c r="Z97" s="317">
        <f t="shared" si="68"/>
        <v>0</v>
      </c>
      <c r="AA97" s="347">
        <f t="shared" si="36"/>
        <v>0</v>
      </c>
      <c r="AB97" s="309"/>
      <c r="AC97" s="132"/>
      <c r="AD97" s="136"/>
      <c r="AE97" s="136"/>
      <c r="AF97" s="132"/>
      <c r="AG97" s="13">
        <f t="shared" si="37"/>
        <v>59</v>
      </c>
      <c r="AH97" s="14">
        <f t="shared" si="83"/>
        <v>6126889.6735242</v>
      </c>
      <c r="AI97" s="44">
        <f t="shared" si="44"/>
        <v>60</v>
      </c>
      <c r="AJ97" s="55">
        <f t="shared" si="84"/>
        <v>4913405.9519999996</v>
      </c>
      <c r="AK97" s="59">
        <v>11</v>
      </c>
      <c r="AL97" s="44">
        <f t="shared" si="46"/>
        <v>60</v>
      </c>
      <c r="AM97" s="45">
        <f t="shared" si="39"/>
        <v>50005.097208490661</v>
      </c>
      <c r="AN97" s="44">
        <f t="shared" si="54"/>
        <v>120</v>
      </c>
      <c r="AO97" s="45">
        <f t="shared" si="5"/>
        <v>60838.846653504297</v>
      </c>
      <c r="AP97" s="3"/>
      <c r="AQ97" s="46">
        <f t="shared" si="47"/>
        <v>60</v>
      </c>
      <c r="AR97" s="47">
        <f t="shared" si="40"/>
        <v>35276.070999381329</v>
      </c>
      <c r="AS97" s="46">
        <f t="shared" si="55"/>
        <v>120</v>
      </c>
      <c r="AT97" s="47">
        <f t="shared" si="6"/>
        <v>42918.734166665759</v>
      </c>
      <c r="AV97" s="41">
        <f t="shared" si="69"/>
        <v>0</v>
      </c>
      <c r="AW97" s="41">
        <f t="shared" si="70"/>
        <v>0</v>
      </c>
      <c r="AX97" s="43">
        <f t="shared" si="9"/>
        <v>0</v>
      </c>
      <c r="AY97" s="43">
        <f t="shared" si="10"/>
        <v>0</v>
      </c>
      <c r="AZ97" s="11"/>
      <c r="BA97" s="36">
        <f t="shared" si="76"/>
        <v>60</v>
      </c>
      <c r="BB97" s="35">
        <f t="shared" si="82"/>
        <v>50005.097208490661</v>
      </c>
      <c r="BC97" s="120"/>
      <c r="BD97" s="307">
        <f t="shared" si="77"/>
        <v>60</v>
      </c>
      <c r="BE97" s="303">
        <f t="shared" si="78"/>
        <v>35276.070999381329</v>
      </c>
      <c r="BF97" s="208"/>
      <c r="BG97" s="37">
        <f t="shared" si="50"/>
        <v>60</v>
      </c>
      <c r="BH97" s="8">
        <f t="shared" si="71"/>
        <v>398.96856330239996</v>
      </c>
      <c r="BI97" s="8"/>
      <c r="BJ97" s="37">
        <f t="shared" si="51"/>
        <v>60</v>
      </c>
      <c r="BK97" s="8">
        <f t="shared" si="72"/>
        <v>0</v>
      </c>
      <c r="BL97" s="8"/>
      <c r="BM97" s="4">
        <v>59</v>
      </c>
      <c r="BN97" s="14">
        <f t="shared" si="14"/>
        <v>34038.275964023334</v>
      </c>
      <c r="BO97" s="14">
        <f t="shared" si="73"/>
        <v>8577.6455429338803</v>
      </c>
      <c r="BP97" s="14">
        <f t="shared" si="42"/>
        <v>1372.423286869421</v>
      </c>
      <c r="BQ97" s="14">
        <f t="shared" si="16"/>
        <v>3063.4448367620998</v>
      </c>
      <c r="BR97" s="38">
        <f t="shared" si="74"/>
        <v>47051.789630588741</v>
      </c>
      <c r="BT97" s="4">
        <v>59</v>
      </c>
      <c r="BU97" s="14">
        <f>SUM(BN$39:BN97)</f>
        <v>1671989.8393242557</v>
      </c>
      <c r="BV97" s="14">
        <f>SUM(BO$39:BO97)</f>
        <v>421341.43950971315</v>
      </c>
      <c r="BW97" s="14">
        <f>SUM(BP$39:BP97)</f>
        <v>67414.630321554068</v>
      </c>
      <c r="BX97" s="14">
        <f>SUM(BQ$39:BQ97)</f>
        <v>150479.08553918308</v>
      </c>
      <c r="BY97" s="21">
        <f>SUM(BR$39:BR97)</f>
        <v>2311224.9946947061</v>
      </c>
    </row>
    <row r="98" spans="1:77" ht="18" customHeight="1" x14ac:dyDescent="0.25">
      <c r="A98" s="268"/>
      <c r="B98" s="267">
        <f t="shared" si="52"/>
        <v>60</v>
      </c>
      <c r="C98" s="264">
        <f t="shared" si="43"/>
        <v>61</v>
      </c>
      <c r="D98" s="265">
        <f t="shared" si="19"/>
        <v>50005.097208490661</v>
      </c>
      <c r="E98" s="266">
        <f t="shared" si="20"/>
        <v>38215.379626666661</v>
      </c>
      <c r="F98" s="266">
        <f t="shared" si="59"/>
        <v>6878.7683327999994</v>
      </c>
      <c r="G98" s="266">
        <f t="shared" ref="G98" si="85">F98*0.16</f>
        <v>1100.602933248</v>
      </c>
      <c r="H98" s="266">
        <f t="shared" si="23"/>
        <v>2456.702976</v>
      </c>
      <c r="I98" s="266">
        <f t="shared" si="24"/>
        <v>1353.6433397759999</v>
      </c>
      <c r="J98" s="435"/>
      <c r="K98" s="317">
        <f t="shared" si="25"/>
        <v>0</v>
      </c>
      <c r="L98" s="317">
        <f t="shared" si="79"/>
        <v>0</v>
      </c>
      <c r="M98" s="317">
        <f t="shared" si="27"/>
        <v>0</v>
      </c>
      <c r="N98" s="347">
        <f t="shared" si="28"/>
        <v>0</v>
      </c>
      <c r="O98" s="267">
        <f t="shared" si="53"/>
        <v>120</v>
      </c>
      <c r="P98" s="264">
        <f t="shared" si="75"/>
        <v>121</v>
      </c>
      <c r="Q98" s="265">
        <f t="shared" si="30"/>
        <v>60838.846653504297</v>
      </c>
      <c r="R98" s="266">
        <f t="shared" si="31"/>
        <v>46494.852539101819</v>
      </c>
      <c r="S98" s="266">
        <f t="shared" si="32"/>
        <v>8369.0734570383283</v>
      </c>
      <c r="T98" s="266">
        <f t="shared" si="33"/>
        <v>1339.0517531261326</v>
      </c>
      <c r="U98" s="266">
        <f t="shared" si="34"/>
        <v>2988.9548060851171</v>
      </c>
      <c r="V98" s="266">
        <f t="shared" si="35"/>
        <v>1646.9140981528997</v>
      </c>
      <c r="W98" s="316"/>
      <c r="X98" s="317">
        <f t="shared" si="66"/>
        <v>0</v>
      </c>
      <c r="Y98" s="317">
        <f t="shared" si="67"/>
        <v>0</v>
      </c>
      <c r="Z98" s="317">
        <f t="shared" si="68"/>
        <v>0</v>
      </c>
      <c r="AA98" s="347">
        <f t="shared" si="36"/>
        <v>0</v>
      </c>
      <c r="AB98" s="309"/>
      <c r="AC98" s="132"/>
      <c r="AD98" s="136"/>
      <c r="AE98" s="136"/>
      <c r="AF98" s="132"/>
      <c r="AG98" s="13">
        <f t="shared" si="37"/>
        <v>60</v>
      </c>
      <c r="AH98" s="14">
        <f t="shared" si="83"/>
        <v>6126889.6735242</v>
      </c>
      <c r="AI98" s="44">
        <f t="shared" si="44"/>
        <v>61</v>
      </c>
      <c r="AJ98" s="55">
        <f t="shared" si="84"/>
        <v>4913405.9519999996</v>
      </c>
      <c r="AK98" s="59">
        <v>12</v>
      </c>
      <c r="AL98" s="44">
        <f t="shared" si="46"/>
        <v>61</v>
      </c>
      <c r="AM98" s="45">
        <f t="shared" si="39"/>
        <v>50005.097208490661</v>
      </c>
      <c r="AN98" s="44">
        <f t="shared" si="54"/>
        <v>121</v>
      </c>
      <c r="AO98" s="45">
        <f t="shared" si="5"/>
        <v>60838.846653504297</v>
      </c>
      <c r="AP98" s="3"/>
      <c r="AQ98" s="46">
        <f t="shared" si="47"/>
        <v>61</v>
      </c>
      <c r="AR98" s="47">
        <f t="shared" si="40"/>
        <v>35276.070999381329</v>
      </c>
      <c r="AS98" s="46">
        <f t="shared" si="55"/>
        <v>121</v>
      </c>
      <c r="AT98" s="47">
        <f t="shared" si="6"/>
        <v>42918.734166665759</v>
      </c>
      <c r="AV98" s="41">
        <f t="shared" si="69"/>
        <v>0</v>
      </c>
      <c r="AW98" s="41">
        <f t="shared" si="70"/>
        <v>0</v>
      </c>
      <c r="AX98" s="49">
        <f t="shared" si="9"/>
        <v>0</v>
      </c>
      <c r="AY98" s="49">
        <f t="shared" si="10"/>
        <v>0</v>
      </c>
      <c r="AZ98" s="11"/>
      <c r="BA98" s="36">
        <f t="shared" si="76"/>
        <v>61</v>
      </c>
      <c r="BB98" s="35">
        <f t="shared" si="82"/>
        <v>50005.097208490661</v>
      </c>
      <c r="BC98" s="120"/>
      <c r="BD98" s="307">
        <f t="shared" si="77"/>
        <v>61</v>
      </c>
      <c r="BE98" s="303">
        <f t="shared" si="78"/>
        <v>35276.070999381329</v>
      </c>
      <c r="BF98" s="208"/>
      <c r="BG98" s="300">
        <f t="shared" si="50"/>
        <v>61</v>
      </c>
      <c r="BH98" s="209">
        <f t="shared" si="71"/>
        <v>398.96856330239996</v>
      </c>
      <c r="BI98" s="8"/>
      <c r="BJ98" s="300">
        <f t="shared" si="51"/>
        <v>61</v>
      </c>
      <c r="BK98" s="209">
        <f t="shared" si="72"/>
        <v>0</v>
      </c>
      <c r="BL98" s="8"/>
      <c r="BM98" s="5">
        <v>60</v>
      </c>
      <c r="BN98" s="22">
        <f t="shared" si="14"/>
        <v>34038.275964023334</v>
      </c>
      <c r="BO98" s="22">
        <f t="shared" si="73"/>
        <v>8577.6455429338803</v>
      </c>
      <c r="BP98" s="22">
        <f t="shared" si="42"/>
        <v>1372.423286869421</v>
      </c>
      <c r="BQ98" s="22">
        <f t="shared" si="16"/>
        <v>3063.4448367620998</v>
      </c>
      <c r="BR98" s="39">
        <f t="shared" si="74"/>
        <v>47051.789630588741</v>
      </c>
      <c r="BT98" s="5">
        <v>60</v>
      </c>
      <c r="BU98" s="22">
        <f>SUM(BN$39:BN98)</f>
        <v>1706028.115288279</v>
      </c>
      <c r="BV98" s="22">
        <f>SUM(BO$39:BO98)</f>
        <v>429919.08505264705</v>
      </c>
      <c r="BW98" s="22">
        <f>SUM(BP$39:BP98)</f>
        <v>68787.053608423492</v>
      </c>
      <c r="BX98" s="22">
        <f>SUM(BQ$39:BQ98)</f>
        <v>153542.53037594518</v>
      </c>
      <c r="BY98" s="23">
        <f>SUM(BR$39:BR98)</f>
        <v>2358276.7843252947</v>
      </c>
    </row>
    <row r="99" spans="1:77" ht="18" customHeight="1" x14ac:dyDescent="0.3">
      <c r="A99" s="268"/>
      <c r="B99" s="168" t="s">
        <v>31</v>
      </c>
      <c r="C99" s="270"/>
      <c r="D99" s="271">
        <f>SUM(D39:D98)</f>
        <v>2778220.3290490871</v>
      </c>
      <c r="E99" s="272">
        <f t="shared" ref="E99:K99" si="86">SUM(E39:E98)</f>
        <v>2123198.4435200002</v>
      </c>
      <c r="F99" s="272">
        <f t="shared" si="86"/>
        <v>382175.71983360004</v>
      </c>
      <c r="G99" s="272">
        <f t="shared" si="86"/>
        <v>61148.115173376063</v>
      </c>
      <c r="H99" s="272">
        <f t="shared" si="86"/>
        <v>136491.32851199998</v>
      </c>
      <c r="I99" s="272">
        <f t="shared" si="86"/>
        <v>75206.722010111931</v>
      </c>
      <c r="J99" s="273">
        <f>SUM(J39:J98)</f>
        <v>0</v>
      </c>
      <c r="K99" s="315">
        <f t="shared" si="86"/>
        <v>0</v>
      </c>
      <c r="L99" s="315">
        <f t="shared" ref="L99" si="87">SUM(L39:L98)</f>
        <v>0</v>
      </c>
      <c r="M99" s="315">
        <f t="shared" ref="M99:N99" si="88">SUM(M39:M98)</f>
        <v>0</v>
      </c>
      <c r="N99" s="348">
        <f t="shared" si="88"/>
        <v>0</v>
      </c>
      <c r="O99" s="108"/>
      <c r="P99" s="62"/>
      <c r="Q99" s="271">
        <f>SUM(Q39:Q98)</f>
        <v>3380129.8268442554</v>
      </c>
      <c r="R99" s="272">
        <f t="shared" ref="R99" si="89">SUM(R39:R98)</f>
        <v>2583195.5486797686</v>
      </c>
      <c r="S99" s="272">
        <f t="shared" ref="S99" si="90">SUM(S39:S98)</f>
        <v>464975.19876235852</v>
      </c>
      <c r="T99" s="272">
        <f t="shared" ref="T99" si="91">SUM(T39:T98)</f>
        <v>74396.03180197734</v>
      </c>
      <c r="U99" s="272">
        <f t="shared" ref="U99" si="92">SUM(U39:U98)</f>
        <v>166062.57098655676</v>
      </c>
      <c r="V99" s="272">
        <f t="shared" ref="V99" si="93">SUM(V39:V98)</f>
        <v>91500.476613592808</v>
      </c>
      <c r="W99" s="273">
        <f>SUM(W39:W98)</f>
        <v>0</v>
      </c>
      <c r="X99" s="315">
        <f t="shared" ref="X99" si="94">SUM(X39:X98)</f>
        <v>0</v>
      </c>
      <c r="Y99" s="315">
        <f t="shared" ref="Y99" si="95">SUM(Y39:Y98)</f>
        <v>0</v>
      </c>
      <c r="Z99" s="315">
        <f>SUM(Z39:Z98)</f>
        <v>0</v>
      </c>
      <c r="AA99" s="348">
        <f t="shared" ref="AA99" si="96">SUM(AA39:AA98)</f>
        <v>0</v>
      </c>
      <c r="AB99" s="95"/>
      <c r="AC99" s="136"/>
      <c r="AD99" s="136"/>
      <c r="AE99" s="136"/>
      <c r="AF99" s="136"/>
      <c r="AG99" s="13"/>
      <c r="AH99" s="14"/>
      <c r="AI99" s="44">
        <f t="shared" si="44"/>
        <v>62</v>
      </c>
      <c r="AJ99" s="55">
        <f>((AJ98)+(AJ98*$E$29))</f>
        <v>5109942.1900799992</v>
      </c>
      <c r="AK99" s="59">
        <v>1</v>
      </c>
      <c r="AM99" s="88"/>
      <c r="AN99" s="88"/>
      <c r="AO99" s="89"/>
      <c r="AP99" s="3"/>
      <c r="AR99" s="11"/>
      <c r="AS99" s="11"/>
      <c r="AT99" s="11"/>
      <c r="AV99" s="11"/>
      <c r="AW99" s="11"/>
      <c r="AX99" s="48">
        <f>SUM(AX39:AX98)</f>
        <v>0</v>
      </c>
      <c r="AY99" s="48">
        <f>SUM(AY39:AY98)</f>
        <v>0</v>
      </c>
      <c r="AZ99" s="11"/>
      <c r="BA99" s="36">
        <f t="shared" si="76"/>
        <v>62</v>
      </c>
      <c r="BB99" s="35">
        <f t="shared" si="82"/>
        <v>52005.301096830284</v>
      </c>
      <c r="BC99" s="120"/>
      <c r="BD99" s="307">
        <f t="shared" si="77"/>
        <v>62</v>
      </c>
      <c r="BE99" s="303">
        <f t="shared" si="78"/>
        <v>36687.113839356578</v>
      </c>
      <c r="BF99" s="208"/>
      <c r="BG99" s="37">
        <f t="shared" si="50"/>
        <v>62</v>
      </c>
      <c r="BH99" s="8">
        <f t="shared" ref="BH99:BH130" si="97">VLOOKUP(BA99,$AI$39:$AJ$158,2,0)*($G$15*1.16)*5%*(IF(Q39/BB99=1,1,Q39/BB99))</f>
        <v>414.92730583449588</v>
      </c>
      <c r="BI99" s="8"/>
      <c r="BJ99" s="37">
        <f t="shared" si="51"/>
        <v>62</v>
      </c>
      <c r="BK99" s="8">
        <f t="shared" ref="BK99:BK130" si="98">IF(BH99=0,0,(AJ99/$B$10+AJ99*$G$15*1.16)-BE99)*(IF(Q39/BB99=1,1,Q39/BB99))*AY39</f>
        <v>0</v>
      </c>
      <c r="BL99" s="8"/>
      <c r="BM99" s="13"/>
      <c r="BN99" s="14"/>
      <c r="BO99" s="14"/>
      <c r="BP99" s="14"/>
      <c r="BQ99" s="14"/>
      <c r="BR99" s="12"/>
    </row>
    <row r="100" spans="1:77" ht="18" customHeight="1" x14ac:dyDescent="0.25">
      <c r="A100" s="268"/>
      <c r="B100" s="210"/>
      <c r="C100" s="210"/>
      <c r="D100" s="292" t="s">
        <v>41</v>
      </c>
      <c r="E100" s="108"/>
      <c r="F100" s="108"/>
      <c r="G100" s="108"/>
      <c r="H100" s="108"/>
      <c r="I100" s="108"/>
      <c r="J100" s="293" t="s">
        <v>2</v>
      </c>
      <c r="K100" s="210"/>
      <c r="L100" s="210"/>
      <c r="M100" s="62"/>
      <c r="N100" s="349" t="s">
        <v>123</v>
      </c>
      <c r="O100" s="108"/>
      <c r="P100" s="62"/>
      <c r="Q100" s="292" t="s">
        <v>41</v>
      </c>
      <c r="R100" s="108"/>
      <c r="S100" s="62"/>
      <c r="T100" s="108"/>
      <c r="U100" s="108"/>
      <c r="W100" s="293" t="s">
        <v>2</v>
      </c>
      <c r="X100" s="108"/>
      <c r="Y100" s="108"/>
      <c r="Z100" s="108"/>
      <c r="AA100" s="349" t="s">
        <v>123</v>
      </c>
      <c r="AB100" s="95"/>
      <c r="AC100" s="132"/>
      <c r="AD100" s="132"/>
      <c r="AE100" s="132"/>
      <c r="AF100" s="132"/>
      <c r="AG100" s="13"/>
      <c r="AH100" s="14"/>
      <c r="AI100" s="44">
        <f t="shared" si="44"/>
        <v>63</v>
      </c>
      <c r="AJ100" s="55">
        <f>AJ99</f>
        <v>5109942.1900799992</v>
      </c>
      <c r="AK100" s="59">
        <v>2</v>
      </c>
      <c r="AN100" s="13"/>
      <c r="AO100" s="11"/>
      <c r="AP100" s="3"/>
      <c r="AR100" s="11"/>
      <c r="AS100" s="11"/>
      <c r="AT100" s="11"/>
      <c r="AV100" s="11"/>
      <c r="AW100" s="11"/>
      <c r="AX100" s="40"/>
      <c r="AY100" s="11"/>
      <c r="AZ100" s="11"/>
      <c r="BA100" s="36">
        <f t="shared" si="76"/>
        <v>63</v>
      </c>
      <c r="BB100" s="35">
        <f t="shared" si="82"/>
        <v>52005.301096830284</v>
      </c>
      <c r="BC100" s="120"/>
      <c r="BD100" s="307">
        <f t="shared" si="77"/>
        <v>63</v>
      </c>
      <c r="BE100" s="303">
        <f t="shared" si="78"/>
        <v>36687.113839356578</v>
      </c>
      <c r="BF100" s="208"/>
      <c r="BG100" s="37">
        <f t="shared" si="50"/>
        <v>63</v>
      </c>
      <c r="BH100" s="8">
        <f t="shared" si="97"/>
        <v>414.92730583449588</v>
      </c>
      <c r="BI100" s="8"/>
      <c r="BJ100" s="37">
        <f t="shared" si="51"/>
        <v>63</v>
      </c>
      <c r="BK100" s="8">
        <f t="shared" si="98"/>
        <v>0</v>
      </c>
      <c r="BL100" s="8"/>
      <c r="BM100" s="13"/>
      <c r="BN100" s="14"/>
      <c r="BO100" s="14"/>
      <c r="BP100" s="14"/>
      <c r="BQ100" s="14"/>
      <c r="BR100" s="12"/>
    </row>
    <row r="101" spans="1:77" ht="18" customHeight="1" thickBot="1" x14ac:dyDescent="0.3">
      <c r="A101" s="268"/>
      <c r="B101" s="274" t="s">
        <v>82</v>
      </c>
      <c r="C101" s="210"/>
      <c r="D101" s="210"/>
      <c r="E101" s="210"/>
      <c r="F101" s="210"/>
      <c r="G101" s="210"/>
      <c r="H101" s="210"/>
      <c r="I101" s="210"/>
      <c r="J101" s="108"/>
      <c r="K101" s="108"/>
      <c r="L101" s="108"/>
      <c r="M101" s="108"/>
      <c r="N101" s="108"/>
      <c r="O101" s="108"/>
      <c r="P101" s="108"/>
      <c r="Q101" s="108"/>
      <c r="R101" s="108"/>
      <c r="S101" s="86"/>
      <c r="T101" s="86"/>
      <c r="U101" s="86"/>
      <c r="V101" s="86"/>
      <c r="W101" s="86"/>
      <c r="X101" s="86"/>
      <c r="Y101" s="86"/>
      <c r="Z101" s="86"/>
      <c r="AA101" s="86"/>
      <c r="AB101" s="95"/>
      <c r="AC101" s="132"/>
      <c r="AD101" s="132"/>
      <c r="AE101" s="132"/>
      <c r="AF101" s="132"/>
      <c r="AG101" s="13"/>
      <c r="AH101" s="14"/>
      <c r="AI101" s="44">
        <f t="shared" si="44"/>
        <v>64</v>
      </c>
      <c r="AJ101" s="55">
        <f>AJ100</f>
        <v>5109942.1900799992</v>
      </c>
      <c r="AK101" s="59">
        <v>3</v>
      </c>
      <c r="AN101" s="13"/>
      <c r="AO101" s="50">
        <f>TRUNC(R104)</f>
        <v>120</v>
      </c>
      <c r="AP101" s="7" t="s">
        <v>12</v>
      </c>
      <c r="AR101" s="11"/>
      <c r="AS101" s="11"/>
      <c r="AT101" s="11"/>
      <c r="AV101" s="11"/>
      <c r="AW101" s="11"/>
      <c r="AZ101" s="11"/>
      <c r="BA101" s="36">
        <f t="shared" si="76"/>
        <v>64</v>
      </c>
      <c r="BB101" s="35">
        <f t="shared" si="82"/>
        <v>52005.301096830284</v>
      </c>
      <c r="BC101" s="120"/>
      <c r="BD101" s="307">
        <f t="shared" si="77"/>
        <v>64</v>
      </c>
      <c r="BE101" s="303">
        <f t="shared" si="78"/>
        <v>36687.113839356578</v>
      </c>
      <c r="BF101" s="208"/>
      <c r="BG101" s="37">
        <f t="shared" si="50"/>
        <v>64</v>
      </c>
      <c r="BH101" s="8">
        <f t="shared" si="97"/>
        <v>414.92730583449588</v>
      </c>
      <c r="BI101" s="8"/>
      <c r="BJ101" s="37">
        <f t="shared" si="51"/>
        <v>64</v>
      </c>
      <c r="BK101" s="8">
        <f t="shared" si="98"/>
        <v>0</v>
      </c>
      <c r="BL101" s="8"/>
      <c r="BM101" s="13"/>
      <c r="BN101" s="14"/>
      <c r="BO101" s="14"/>
      <c r="BP101" s="14"/>
      <c r="BQ101" s="14"/>
      <c r="BR101" s="12"/>
    </row>
    <row r="102" spans="1:77" ht="18" customHeight="1" x14ac:dyDescent="0.25">
      <c r="A102" s="268"/>
      <c r="B102" s="585" t="s">
        <v>81</v>
      </c>
      <c r="C102" s="585"/>
      <c r="D102" s="585"/>
      <c r="E102" s="585"/>
      <c r="F102" s="585"/>
      <c r="G102" s="585"/>
      <c r="H102" s="585"/>
      <c r="I102" s="108"/>
      <c r="J102" s="108"/>
      <c r="K102" s="108" t="s">
        <v>127</v>
      </c>
      <c r="L102" s="354">
        <f>B7-K19</f>
        <v>2791079.2</v>
      </c>
      <c r="M102" s="108"/>
      <c r="N102" s="108"/>
      <c r="O102" s="108"/>
      <c r="P102" s="275" t="s">
        <v>35</v>
      </c>
      <c r="Q102" s="276"/>
      <c r="R102" s="277">
        <f>E19</f>
        <v>60</v>
      </c>
      <c r="S102" s="86"/>
      <c r="T102" s="86"/>
      <c r="U102" s="86"/>
      <c r="V102" s="86"/>
      <c r="W102" s="86"/>
      <c r="X102" s="86"/>
      <c r="Y102" s="86"/>
      <c r="Z102" s="86"/>
      <c r="AA102" s="86"/>
      <c r="AB102" s="95"/>
      <c r="AC102" s="132"/>
      <c r="AD102" s="132"/>
      <c r="AE102" s="132"/>
      <c r="AF102" s="132"/>
      <c r="AG102" s="13"/>
      <c r="AH102" s="14"/>
      <c r="AI102" s="44">
        <f t="shared" si="44"/>
        <v>65</v>
      </c>
      <c r="AJ102" s="55">
        <f>AJ101</f>
        <v>5109942.1900799992</v>
      </c>
      <c r="AK102" s="59">
        <v>4</v>
      </c>
      <c r="AN102" s="13"/>
      <c r="AO102" s="50">
        <f>+R104-AO101</f>
        <v>0</v>
      </c>
      <c r="AP102" s="7" t="s">
        <v>14</v>
      </c>
      <c r="AR102" s="11"/>
      <c r="AS102" s="11"/>
      <c r="AT102" s="11"/>
      <c r="AV102" s="11"/>
      <c r="AW102" s="11"/>
      <c r="AZ102" s="11"/>
      <c r="BA102" s="36">
        <f t="shared" si="76"/>
        <v>65</v>
      </c>
      <c r="BB102" s="35">
        <f t="shared" si="82"/>
        <v>52005.301096830284</v>
      </c>
      <c r="BC102" s="120"/>
      <c r="BD102" s="307">
        <f t="shared" si="77"/>
        <v>65</v>
      </c>
      <c r="BE102" s="303">
        <f t="shared" si="78"/>
        <v>36687.113839356578</v>
      </c>
      <c r="BF102" s="208"/>
      <c r="BG102" s="37">
        <f t="shared" si="50"/>
        <v>65</v>
      </c>
      <c r="BH102" s="8">
        <f t="shared" si="97"/>
        <v>414.92730583449588</v>
      </c>
      <c r="BI102" s="8"/>
      <c r="BJ102" s="37">
        <f t="shared" si="51"/>
        <v>65</v>
      </c>
      <c r="BK102" s="8">
        <f t="shared" si="98"/>
        <v>0</v>
      </c>
      <c r="BL102" s="8"/>
      <c r="BM102" s="13"/>
      <c r="BN102" s="14"/>
      <c r="BO102" s="14"/>
      <c r="BP102" s="14"/>
      <c r="BQ102" s="14"/>
      <c r="BR102" s="12"/>
    </row>
    <row r="103" spans="1:77" ht="18" customHeight="1" x14ac:dyDescent="0.25">
      <c r="A103" s="268"/>
      <c r="B103" s="585"/>
      <c r="C103" s="585"/>
      <c r="D103" s="585"/>
      <c r="E103" s="585"/>
      <c r="F103" s="585"/>
      <c r="G103" s="585"/>
      <c r="H103" s="585"/>
      <c r="I103" s="108"/>
      <c r="J103" s="108"/>
      <c r="K103" s="108"/>
      <c r="L103" s="108"/>
      <c r="M103" s="108"/>
      <c r="N103" s="108"/>
      <c r="O103" s="108"/>
      <c r="P103" s="278" t="s">
        <v>13</v>
      </c>
      <c r="Q103" s="210"/>
      <c r="R103" s="279">
        <f>SUM(AX99:AY99)</f>
        <v>0</v>
      </c>
      <c r="S103" s="86"/>
      <c r="T103" s="86"/>
      <c r="U103" s="86"/>
      <c r="V103" s="86"/>
      <c r="W103" s="86"/>
      <c r="X103" s="86"/>
      <c r="Y103" s="86"/>
      <c r="Z103" s="86"/>
      <c r="AA103" s="86"/>
      <c r="AB103" s="95"/>
      <c r="AC103" s="132"/>
      <c r="AD103" s="132"/>
      <c r="AE103" s="132"/>
      <c r="AF103" s="132"/>
      <c r="AG103" s="13"/>
      <c r="AH103" s="14"/>
      <c r="AI103" s="44">
        <f t="shared" si="44"/>
        <v>66</v>
      </c>
      <c r="AJ103" s="55">
        <f t="shared" ref="AJ103:AJ128" si="99">AJ102</f>
        <v>5109942.1900799992</v>
      </c>
      <c r="AK103" s="59">
        <v>5</v>
      </c>
      <c r="AN103" s="13"/>
      <c r="AO103" s="11"/>
      <c r="AP103" s="3"/>
      <c r="AR103" s="11"/>
      <c r="AS103" s="11"/>
      <c r="AT103" s="11"/>
      <c r="AV103" s="11"/>
      <c r="AW103" s="11"/>
      <c r="AX103" s="40"/>
      <c r="AY103" s="11"/>
      <c r="AZ103" s="11"/>
      <c r="BA103" s="36">
        <f t="shared" si="76"/>
        <v>66</v>
      </c>
      <c r="BB103" s="35">
        <f t="shared" si="82"/>
        <v>52005.301096830284</v>
      </c>
      <c r="BC103" s="120"/>
      <c r="BD103" s="307">
        <f t="shared" si="77"/>
        <v>66</v>
      </c>
      <c r="BE103" s="303">
        <f t="shared" si="78"/>
        <v>36687.113839356578</v>
      </c>
      <c r="BF103" s="208"/>
      <c r="BG103" s="37">
        <f t="shared" si="50"/>
        <v>66</v>
      </c>
      <c r="BH103" s="8">
        <f t="shared" si="97"/>
        <v>414.92730583449588</v>
      </c>
      <c r="BI103" s="8"/>
      <c r="BJ103" s="37">
        <f t="shared" si="51"/>
        <v>66</v>
      </c>
      <c r="BK103" s="8">
        <f t="shared" si="98"/>
        <v>0</v>
      </c>
      <c r="BL103" s="8"/>
      <c r="BM103" s="13"/>
      <c r="BN103" s="14"/>
      <c r="BO103" s="14"/>
      <c r="BP103" s="14"/>
      <c r="BQ103" s="14"/>
      <c r="BR103" s="12"/>
    </row>
    <row r="104" spans="1:77" ht="18" customHeight="1" x14ac:dyDescent="0.25">
      <c r="A104" s="268"/>
      <c r="B104" s="585"/>
      <c r="C104" s="585"/>
      <c r="D104" s="585"/>
      <c r="E104" s="585"/>
      <c r="F104" s="585"/>
      <c r="G104" s="585"/>
      <c r="H104" s="585"/>
      <c r="I104" s="108"/>
      <c r="J104" s="108"/>
      <c r="K104" s="108"/>
      <c r="L104" s="108"/>
      <c r="M104" s="108"/>
      <c r="N104" s="108"/>
      <c r="O104" s="108"/>
      <c r="P104" s="278" t="s">
        <v>43</v>
      </c>
      <c r="Q104" s="210"/>
      <c r="R104" s="280">
        <f>B10-E19-R103</f>
        <v>120</v>
      </c>
      <c r="S104" s="86"/>
      <c r="T104" s="86"/>
      <c r="U104" s="86"/>
      <c r="V104" s="86"/>
      <c r="W104" s="86"/>
      <c r="X104" s="86"/>
      <c r="Y104" s="86"/>
      <c r="Z104" s="86"/>
      <c r="AA104" s="86"/>
      <c r="AB104" s="95"/>
      <c r="AC104" s="132"/>
      <c r="AD104" s="132"/>
      <c r="AE104" s="132"/>
      <c r="AF104" s="132"/>
      <c r="AG104" s="13"/>
      <c r="AH104" s="14"/>
      <c r="AI104" s="44">
        <f t="shared" si="44"/>
        <v>67</v>
      </c>
      <c r="AJ104" s="55">
        <f t="shared" si="99"/>
        <v>5109942.1900799992</v>
      </c>
      <c r="AK104" s="59">
        <v>6</v>
      </c>
      <c r="AN104" s="13"/>
      <c r="AO104" s="11"/>
      <c r="AP104" s="3"/>
      <c r="AR104" s="11"/>
      <c r="AS104" s="11"/>
      <c r="AT104" s="11"/>
      <c r="AV104" s="11"/>
      <c r="AW104" s="11"/>
      <c r="AX104" s="40"/>
      <c r="AY104" s="11"/>
      <c r="AZ104" s="11"/>
      <c r="BA104" s="36">
        <f t="shared" si="76"/>
        <v>67</v>
      </c>
      <c r="BB104" s="35">
        <f t="shared" si="82"/>
        <v>52005.301096830284</v>
      </c>
      <c r="BC104" s="120"/>
      <c r="BD104" s="307">
        <f t="shared" si="77"/>
        <v>67</v>
      </c>
      <c r="BE104" s="303">
        <f t="shared" si="78"/>
        <v>36687.113839356578</v>
      </c>
      <c r="BF104" s="208"/>
      <c r="BG104" s="37">
        <f t="shared" si="50"/>
        <v>67</v>
      </c>
      <c r="BH104" s="8">
        <f t="shared" si="97"/>
        <v>414.92730583449588</v>
      </c>
      <c r="BI104" s="8"/>
      <c r="BJ104" s="37">
        <f t="shared" si="51"/>
        <v>67</v>
      </c>
      <c r="BK104" s="8">
        <f t="shared" si="98"/>
        <v>0</v>
      </c>
      <c r="BL104" s="8"/>
      <c r="BM104" s="13"/>
      <c r="BN104" s="14"/>
      <c r="BO104" s="14"/>
      <c r="BP104" s="14"/>
      <c r="BQ104" s="14"/>
      <c r="BR104" s="12"/>
    </row>
    <row r="105" spans="1:77" ht="18" customHeight="1" thickBot="1" x14ac:dyDescent="0.3">
      <c r="A105" s="268"/>
      <c r="B105" s="585"/>
      <c r="C105" s="585"/>
      <c r="D105" s="585"/>
      <c r="E105" s="585"/>
      <c r="F105" s="585"/>
      <c r="G105" s="585"/>
      <c r="H105" s="585"/>
      <c r="I105" s="108"/>
      <c r="J105" s="108"/>
      <c r="K105" s="108"/>
      <c r="L105" s="108"/>
      <c r="M105" s="108"/>
      <c r="N105" s="108"/>
      <c r="O105" s="108"/>
      <c r="P105" s="281"/>
      <c r="Q105" s="282"/>
      <c r="R105" s="283">
        <f>SUM(R102:R104)</f>
        <v>180</v>
      </c>
      <c r="S105" s="86"/>
      <c r="T105" s="86"/>
      <c r="U105" s="86"/>
      <c r="V105" s="86"/>
      <c r="W105" s="86"/>
      <c r="X105" s="86"/>
      <c r="Y105" s="86"/>
      <c r="Z105" s="86"/>
      <c r="AA105" s="86"/>
      <c r="AB105" s="95"/>
      <c r="AC105" s="132"/>
      <c r="AD105" s="132"/>
      <c r="AE105" s="132"/>
      <c r="AF105" s="132"/>
      <c r="AG105" s="13"/>
      <c r="AH105" s="14"/>
      <c r="AI105" s="44">
        <f t="shared" ref="AI105:AI158" si="100">AI104+1</f>
        <v>68</v>
      </c>
      <c r="AJ105" s="55">
        <f t="shared" si="99"/>
        <v>5109942.1900799992</v>
      </c>
      <c r="AK105" s="59">
        <v>7</v>
      </c>
      <c r="AN105"/>
      <c r="AO105"/>
      <c r="AP105"/>
      <c r="AQ105"/>
      <c r="AR105"/>
      <c r="AS105"/>
      <c r="AT105"/>
      <c r="AU105"/>
      <c r="AV105"/>
      <c r="AW105"/>
      <c r="AX105"/>
      <c r="AY105" s="11"/>
      <c r="AZ105" s="11"/>
      <c r="BA105" s="36">
        <f t="shared" si="76"/>
        <v>68</v>
      </c>
      <c r="BB105" s="35">
        <f t="shared" si="82"/>
        <v>52005.301096830284</v>
      </c>
      <c r="BC105" s="120"/>
      <c r="BD105" s="307">
        <f t="shared" si="77"/>
        <v>68</v>
      </c>
      <c r="BE105" s="303">
        <f t="shared" si="78"/>
        <v>36687.113839356578</v>
      </c>
      <c r="BF105" s="208"/>
      <c r="BG105" s="37">
        <f t="shared" ref="BG105:BG158" si="101">BG104+1</f>
        <v>68</v>
      </c>
      <c r="BH105" s="8">
        <f t="shared" si="97"/>
        <v>414.92730583449588</v>
      </c>
      <c r="BI105" s="8"/>
      <c r="BJ105" s="37">
        <f t="shared" ref="BJ105:BJ158" si="102">BJ104+1</f>
        <v>68</v>
      </c>
      <c r="BK105" s="8">
        <f t="shared" si="98"/>
        <v>0</v>
      </c>
      <c r="BL105" s="8"/>
      <c r="BM105" s="13"/>
      <c r="BN105" s="14"/>
      <c r="BO105" s="14"/>
      <c r="BP105" s="14"/>
      <c r="BQ105" s="14"/>
      <c r="BR105" s="12"/>
    </row>
    <row r="106" spans="1:77" ht="18" customHeight="1" x14ac:dyDescent="0.25">
      <c r="A106" s="284"/>
      <c r="B106" s="285"/>
      <c r="C106" s="285"/>
      <c r="D106" s="285"/>
      <c r="E106" s="285"/>
      <c r="F106" s="112"/>
      <c r="G106" s="112"/>
      <c r="H106" s="112"/>
      <c r="I106" s="112"/>
      <c r="J106" s="111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3"/>
      <c r="AC106" s="132"/>
      <c r="AD106" s="132"/>
      <c r="AE106" s="132"/>
      <c r="AF106" s="132"/>
      <c r="AG106" s="13"/>
      <c r="AH106" s="14"/>
      <c r="AI106" s="44">
        <f t="shared" si="100"/>
        <v>69</v>
      </c>
      <c r="AJ106" s="55">
        <f t="shared" si="99"/>
        <v>5109942.1900799992</v>
      </c>
      <c r="AK106" s="59">
        <v>8</v>
      </c>
      <c r="AN106"/>
      <c r="AO106"/>
      <c r="AP106"/>
      <c r="AQ106"/>
      <c r="AR106"/>
      <c r="AS106"/>
      <c r="AT106"/>
      <c r="AU106"/>
      <c r="AV106"/>
      <c r="AW106"/>
      <c r="AX106"/>
      <c r="AY106" s="11"/>
      <c r="AZ106" s="11"/>
      <c r="BA106" s="36">
        <f t="shared" si="76"/>
        <v>69</v>
      </c>
      <c r="BB106" s="35">
        <f t="shared" si="82"/>
        <v>52005.301096830284</v>
      </c>
      <c r="BC106" s="120"/>
      <c r="BD106" s="307">
        <f t="shared" si="77"/>
        <v>69</v>
      </c>
      <c r="BE106" s="303">
        <f t="shared" si="78"/>
        <v>36687.113839356578</v>
      </c>
      <c r="BF106" s="208"/>
      <c r="BG106" s="37">
        <f t="shared" si="101"/>
        <v>69</v>
      </c>
      <c r="BH106" s="8">
        <f t="shared" si="97"/>
        <v>414.92730583449588</v>
      </c>
      <c r="BI106" s="8"/>
      <c r="BJ106" s="37">
        <f t="shared" si="102"/>
        <v>69</v>
      </c>
      <c r="BK106" s="8">
        <f t="shared" si="98"/>
        <v>0</v>
      </c>
      <c r="BL106" s="8"/>
      <c r="BM106" s="13"/>
      <c r="BN106" s="14"/>
      <c r="BO106" s="14"/>
      <c r="BP106" s="14"/>
      <c r="BQ106" s="14"/>
      <c r="BR106" s="12"/>
    </row>
    <row r="107" spans="1:77" ht="13.8" x14ac:dyDescent="0.25">
      <c r="B107" s="131"/>
      <c r="C107" s="131"/>
      <c r="D107" s="131"/>
      <c r="E107" s="131"/>
      <c r="F107" s="131"/>
      <c r="G107" s="131"/>
      <c r="H107" s="131"/>
      <c r="I107" s="134"/>
      <c r="J107" s="134"/>
      <c r="K107" s="134"/>
      <c r="L107" s="134"/>
      <c r="M107" s="134"/>
      <c r="N107" s="134"/>
      <c r="O107" s="134"/>
      <c r="P107" s="134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2"/>
      <c r="AD107" s="132"/>
      <c r="AE107" s="132"/>
      <c r="AF107" s="132"/>
      <c r="AG107" s="13"/>
      <c r="AH107" s="14"/>
      <c r="AI107" s="44">
        <f t="shared" si="100"/>
        <v>70</v>
      </c>
      <c r="AJ107" s="55">
        <f t="shared" si="99"/>
        <v>5109942.1900799992</v>
      </c>
      <c r="AK107" s="59">
        <v>9</v>
      </c>
      <c r="AN107"/>
      <c r="AO107"/>
      <c r="AP107"/>
      <c r="AQ107"/>
      <c r="AR107"/>
      <c r="AS107"/>
      <c r="AT107"/>
      <c r="AU107"/>
      <c r="AV107"/>
      <c r="AW107"/>
      <c r="AX107"/>
      <c r="AY107" s="11"/>
      <c r="AZ107" s="11"/>
      <c r="BA107" s="36">
        <f t="shared" si="76"/>
        <v>70</v>
      </c>
      <c r="BB107" s="35">
        <f t="shared" si="82"/>
        <v>52005.301096830284</v>
      </c>
      <c r="BC107" s="120"/>
      <c r="BD107" s="307">
        <f t="shared" si="77"/>
        <v>70</v>
      </c>
      <c r="BE107" s="303">
        <f t="shared" ref="BE107:BE138" si="103">AJ107/$B$10+AJ107*($G$15*(100%-$BE$29)*1.16)</f>
        <v>36687.113839356578</v>
      </c>
      <c r="BF107" s="208"/>
      <c r="BG107" s="37">
        <f t="shared" si="101"/>
        <v>70</v>
      </c>
      <c r="BH107" s="8">
        <f t="shared" si="97"/>
        <v>414.92730583449588</v>
      </c>
      <c r="BI107" s="8"/>
      <c r="BJ107" s="37">
        <f t="shared" si="102"/>
        <v>70</v>
      </c>
      <c r="BK107" s="8">
        <f t="shared" si="98"/>
        <v>0</v>
      </c>
      <c r="BL107" s="8"/>
      <c r="BM107" s="13"/>
      <c r="BN107" s="14"/>
      <c r="BO107" s="14"/>
      <c r="BP107" s="14"/>
      <c r="BQ107" s="14"/>
      <c r="BR107" s="12"/>
    </row>
    <row r="108" spans="1:77" ht="13.8" x14ac:dyDescent="0.25">
      <c r="B108" s="131"/>
      <c r="C108" s="131"/>
      <c r="D108" s="135"/>
      <c r="E108" s="135"/>
      <c r="F108" s="130"/>
      <c r="G108" s="130"/>
      <c r="H108" s="135"/>
      <c r="I108" s="131"/>
      <c r="J108" s="142"/>
      <c r="K108" s="142"/>
      <c r="L108" s="344"/>
      <c r="M108" s="142"/>
      <c r="N108" s="142"/>
      <c r="O108" s="142"/>
      <c r="P108" s="142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32"/>
      <c r="AD108" s="132"/>
      <c r="AE108" s="132"/>
      <c r="AF108" s="132"/>
      <c r="AG108" s="13"/>
      <c r="AH108" s="14"/>
      <c r="AI108" s="44">
        <f t="shared" si="100"/>
        <v>71</v>
      </c>
      <c r="AJ108" s="55">
        <f t="shared" si="99"/>
        <v>5109942.1900799992</v>
      </c>
      <c r="AK108" s="59">
        <v>10</v>
      </c>
      <c r="AN108"/>
      <c r="AO108" s="42"/>
      <c r="AP108"/>
      <c r="AQ108"/>
      <c r="AR108"/>
      <c r="AS108"/>
      <c r="AT108"/>
      <c r="AU108"/>
      <c r="AV108"/>
      <c r="AW108"/>
      <c r="AX108"/>
      <c r="AY108" s="11"/>
      <c r="AZ108" s="11"/>
      <c r="BA108" s="36">
        <f t="shared" si="76"/>
        <v>71</v>
      </c>
      <c r="BB108" s="35">
        <f t="shared" si="82"/>
        <v>52005.301096830284</v>
      </c>
      <c r="BC108" s="120"/>
      <c r="BD108" s="307">
        <f t="shared" si="77"/>
        <v>71</v>
      </c>
      <c r="BE108" s="303">
        <f t="shared" si="103"/>
        <v>36687.113839356578</v>
      </c>
      <c r="BF108" s="208"/>
      <c r="BG108" s="37">
        <f t="shared" si="101"/>
        <v>71</v>
      </c>
      <c r="BH108" s="8">
        <f t="shared" si="97"/>
        <v>414.92730583449588</v>
      </c>
      <c r="BI108" s="8"/>
      <c r="BJ108" s="37">
        <f t="shared" si="102"/>
        <v>71</v>
      </c>
      <c r="BK108" s="8">
        <f t="shared" si="98"/>
        <v>0</v>
      </c>
      <c r="BL108" s="8"/>
      <c r="BM108" s="13"/>
      <c r="BN108" s="14"/>
      <c r="BO108" s="14"/>
      <c r="BP108" s="14"/>
      <c r="BQ108" s="14"/>
      <c r="BR108" s="12"/>
    </row>
    <row r="109" spans="1:77" ht="13.8" x14ac:dyDescent="0.25">
      <c r="B109" s="144"/>
      <c r="C109" s="144"/>
      <c r="D109" s="131"/>
      <c r="E109" s="131"/>
      <c r="F109" s="131"/>
      <c r="G109" s="131"/>
      <c r="H109" s="131"/>
      <c r="I109" s="145"/>
      <c r="J109" s="146"/>
      <c r="K109" s="146"/>
      <c r="L109" s="146"/>
      <c r="M109" s="146"/>
      <c r="N109" s="146"/>
      <c r="O109" s="146"/>
      <c r="P109" s="147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32"/>
      <c r="AD109" s="132"/>
      <c r="AE109" s="132"/>
      <c r="AF109" s="132"/>
      <c r="AG109" s="13"/>
      <c r="AH109" s="14"/>
      <c r="AI109" s="44">
        <f t="shared" si="100"/>
        <v>72</v>
      </c>
      <c r="AJ109" s="55">
        <f t="shared" si="99"/>
        <v>5109942.1900799992</v>
      </c>
      <c r="AK109" s="59">
        <v>11</v>
      </c>
      <c r="AN109"/>
      <c r="AO109" s="42"/>
      <c r="AP109"/>
      <c r="AQ109"/>
      <c r="AR109"/>
      <c r="AS109"/>
      <c r="AT109"/>
      <c r="AU109"/>
      <c r="AV109"/>
      <c r="AW109"/>
      <c r="AX109"/>
      <c r="AY109" s="11"/>
      <c r="AZ109" s="11"/>
      <c r="BA109" s="36">
        <f t="shared" si="76"/>
        <v>72</v>
      </c>
      <c r="BB109" s="35">
        <f t="shared" si="82"/>
        <v>52005.301096830284</v>
      </c>
      <c r="BC109" s="120"/>
      <c r="BD109" s="307">
        <f t="shared" si="77"/>
        <v>72</v>
      </c>
      <c r="BE109" s="303">
        <f t="shared" si="103"/>
        <v>36687.113839356578</v>
      </c>
      <c r="BF109" s="208"/>
      <c r="BG109" s="37">
        <f t="shared" si="101"/>
        <v>72</v>
      </c>
      <c r="BH109" s="8">
        <f t="shared" si="97"/>
        <v>414.92730583449588</v>
      </c>
      <c r="BI109" s="8"/>
      <c r="BJ109" s="37">
        <f t="shared" si="102"/>
        <v>72</v>
      </c>
      <c r="BK109" s="8">
        <f t="shared" si="98"/>
        <v>0</v>
      </c>
      <c r="BL109" s="8"/>
      <c r="BM109" s="13"/>
      <c r="BN109" s="14"/>
      <c r="BO109" s="14"/>
      <c r="BP109" s="14"/>
      <c r="BQ109" s="14"/>
      <c r="BR109" s="12"/>
    </row>
    <row r="110" spans="1:77" ht="13.8" x14ac:dyDescent="0.25">
      <c r="B110" s="149"/>
      <c r="C110" s="149"/>
      <c r="D110" s="149"/>
      <c r="E110" s="142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42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32"/>
      <c r="AD110" s="132"/>
      <c r="AE110" s="132"/>
      <c r="AF110" s="132"/>
      <c r="AG110" s="13"/>
      <c r="AH110" s="14"/>
      <c r="AI110" s="44">
        <f t="shared" si="100"/>
        <v>73</v>
      </c>
      <c r="AJ110" s="55">
        <f t="shared" si="99"/>
        <v>5109942.1900799992</v>
      </c>
      <c r="AK110" s="59">
        <v>12</v>
      </c>
      <c r="AN110"/>
      <c r="AO110" s="42"/>
      <c r="AP110"/>
      <c r="AQ110"/>
      <c r="AR110"/>
      <c r="AS110"/>
      <c r="AT110"/>
      <c r="AU110"/>
      <c r="AV110"/>
      <c r="AW110"/>
      <c r="AX110"/>
      <c r="AY110" s="11"/>
      <c r="AZ110" s="11"/>
      <c r="BA110" s="36">
        <f t="shared" si="76"/>
        <v>73</v>
      </c>
      <c r="BB110" s="35">
        <f t="shared" si="82"/>
        <v>52005.301096830284</v>
      </c>
      <c r="BC110" s="120"/>
      <c r="BD110" s="307">
        <f t="shared" si="77"/>
        <v>73</v>
      </c>
      <c r="BE110" s="303">
        <f t="shared" si="103"/>
        <v>36687.113839356578</v>
      </c>
      <c r="BF110" s="208"/>
      <c r="BG110" s="37">
        <f t="shared" si="101"/>
        <v>73</v>
      </c>
      <c r="BH110" s="8">
        <f t="shared" si="97"/>
        <v>414.92730583449588</v>
      </c>
      <c r="BI110" s="8"/>
      <c r="BJ110" s="37">
        <f t="shared" si="102"/>
        <v>73</v>
      </c>
      <c r="BK110" s="8">
        <f t="shared" si="98"/>
        <v>0</v>
      </c>
      <c r="BL110" s="8"/>
      <c r="BM110" s="13"/>
      <c r="BN110" s="14"/>
      <c r="BO110" s="14"/>
      <c r="BP110" s="14"/>
      <c r="BQ110" s="14"/>
      <c r="BR110" s="12"/>
    </row>
    <row r="111" spans="1:77" ht="13.8" x14ac:dyDescent="0.25">
      <c r="B111" s="149"/>
      <c r="C111" s="150"/>
      <c r="D111" s="156"/>
      <c r="E111" s="157"/>
      <c r="F111" s="131"/>
      <c r="G111" s="131"/>
      <c r="H111" s="131"/>
      <c r="I111" s="145"/>
      <c r="J111" s="151"/>
      <c r="K111" s="152"/>
      <c r="L111" s="152"/>
      <c r="M111" s="152"/>
      <c r="N111" s="152"/>
      <c r="O111" s="152"/>
      <c r="P111" s="152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36"/>
      <c r="AD111" s="136"/>
      <c r="AE111" s="136"/>
      <c r="AF111" s="136"/>
      <c r="AG111" s="13"/>
      <c r="AH111" s="14"/>
      <c r="AI111" s="44">
        <f t="shared" si="100"/>
        <v>74</v>
      </c>
      <c r="AJ111" s="55">
        <f>((AJ110)+(AJ110*$E$29))</f>
        <v>5314339.877683199</v>
      </c>
      <c r="AK111" s="59">
        <v>1</v>
      </c>
      <c r="AN111"/>
      <c r="AO111"/>
      <c r="AP111"/>
      <c r="AQ111"/>
      <c r="AR111"/>
      <c r="AS111"/>
      <c r="AT111"/>
      <c r="AU111"/>
      <c r="AV111"/>
      <c r="AW111"/>
      <c r="AX111"/>
      <c r="AY111" s="11"/>
      <c r="AZ111" s="11"/>
      <c r="BA111" s="36">
        <f t="shared" si="76"/>
        <v>74</v>
      </c>
      <c r="BB111" s="35">
        <f t="shared" si="82"/>
        <v>54085.513140703493</v>
      </c>
      <c r="BC111" s="120"/>
      <c r="BD111" s="307">
        <f t="shared" si="77"/>
        <v>74</v>
      </c>
      <c r="BE111" s="303">
        <f t="shared" si="103"/>
        <v>38154.598392930842</v>
      </c>
      <c r="BF111" s="208"/>
      <c r="BG111" s="37">
        <f t="shared" si="101"/>
        <v>74</v>
      </c>
      <c r="BH111" s="8">
        <f t="shared" si="97"/>
        <v>431.52439806787572</v>
      </c>
      <c r="BI111" s="8"/>
      <c r="BJ111" s="37">
        <f t="shared" si="102"/>
        <v>74</v>
      </c>
      <c r="BK111" s="8">
        <f t="shared" si="98"/>
        <v>0</v>
      </c>
      <c r="BL111" s="8"/>
      <c r="BM111" s="13"/>
      <c r="BN111" s="14"/>
      <c r="BO111" s="14"/>
      <c r="BP111" s="14"/>
      <c r="BQ111" s="14"/>
      <c r="BR111" s="12"/>
    </row>
    <row r="112" spans="1:77" ht="13.8" x14ac:dyDescent="0.25">
      <c r="B112" s="131"/>
      <c r="C112" s="131"/>
      <c r="D112" s="131"/>
      <c r="E112" s="132"/>
      <c r="F112" s="131"/>
      <c r="G112" s="131"/>
      <c r="H112" s="131"/>
      <c r="I112" s="153"/>
      <c r="J112" s="154"/>
      <c r="K112" s="131"/>
      <c r="L112" s="131"/>
      <c r="M112" s="131"/>
      <c r="N112" s="131"/>
      <c r="O112" s="131"/>
      <c r="P112" s="142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36"/>
      <c r="AD112" s="136"/>
      <c r="AE112" s="136"/>
      <c r="AF112" s="136"/>
      <c r="AG112" s="13"/>
      <c r="AH112" s="14"/>
      <c r="AI112" s="44">
        <f t="shared" si="100"/>
        <v>75</v>
      </c>
      <c r="AJ112" s="55">
        <f>AJ111</f>
        <v>5314339.877683199</v>
      </c>
      <c r="AK112" s="59">
        <v>2</v>
      </c>
      <c r="AN112"/>
      <c r="AO112"/>
      <c r="AP112"/>
      <c r="AQ112"/>
      <c r="AR112"/>
      <c r="AS112"/>
      <c r="AT112"/>
      <c r="AU112"/>
      <c r="AV112"/>
      <c r="AW112"/>
      <c r="AX112"/>
      <c r="AY112" s="11"/>
      <c r="AZ112" s="11"/>
      <c r="BA112" s="36">
        <f t="shared" si="76"/>
        <v>75</v>
      </c>
      <c r="BB112" s="35">
        <f t="shared" si="82"/>
        <v>54085.513140703493</v>
      </c>
      <c r="BC112" s="120"/>
      <c r="BD112" s="307">
        <f t="shared" si="77"/>
        <v>75</v>
      </c>
      <c r="BE112" s="303">
        <f t="shared" si="103"/>
        <v>38154.598392930842</v>
      </c>
      <c r="BF112" s="208"/>
      <c r="BG112" s="37">
        <f t="shared" si="101"/>
        <v>75</v>
      </c>
      <c r="BH112" s="8">
        <f t="shared" si="97"/>
        <v>431.52439806787572</v>
      </c>
      <c r="BI112" s="8"/>
      <c r="BJ112" s="37">
        <f t="shared" si="102"/>
        <v>75</v>
      </c>
      <c r="BK112" s="8">
        <f t="shared" si="98"/>
        <v>0</v>
      </c>
      <c r="BL112" s="8"/>
      <c r="BM112" s="13"/>
      <c r="BN112" s="14"/>
      <c r="BO112" s="14"/>
      <c r="BP112" s="14"/>
      <c r="BQ112" s="14"/>
      <c r="BR112" s="12"/>
    </row>
    <row r="113" spans="2:70" ht="13.8" x14ac:dyDescent="0.25"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6"/>
      <c r="AD113" s="136"/>
      <c r="AE113" s="136"/>
      <c r="AF113" s="136"/>
      <c r="AG113" s="13"/>
      <c r="AH113" s="14"/>
      <c r="AI113" s="44">
        <f t="shared" si="100"/>
        <v>76</v>
      </c>
      <c r="AJ113" s="55">
        <f>AJ112</f>
        <v>5314339.877683199</v>
      </c>
      <c r="AK113" s="59">
        <v>3</v>
      </c>
      <c r="AN113"/>
      <c r="AO113"/>
      <c r="AP113"/>
      <c r="AQ113"/>
      <c r="AR113"/>
      <c r="AS113"/>
      <c r="AT113"/>
      <c r="AU113"/>
      <c r="AV113"/>
      <c r="AW113"/>
      <c r="AX113"/>
      <c r="AY113" s="11"/>
      <c r="AZ113" s="11"/>
      <c r="BA113" s="36">
        <f t="shared" si="76"/>
        <v>76</v>
      </c>
      <c r="BB113" s="35">
        <f t="shared" si="82"/>
        <v>54085.513140703493</v>
      </c>
      <c r="BC113" s="120"/>
      <c r="BD113" s="307">
        <f t="shared" si="77"/>
        <v>76</v>
      </c>
      <c r="BE113" s="303">
        <f t="shared" si="103"/>
        <v>38154.598392930842</v>
      </c>
      <c r="BF113" s="208"/>
      <c r="BG113" s="37">
        <f t="shared" si="101"/>
        <v>76</v>
      </c>
      <c r="BH113" s="8">
        <f t="shared" si="97"/>
        <v>431.52439806787572</v>
      </c>
      <c r="BI113" s="8"/>
      <c r="BJ113" s="37">
        <f t="shared" si="102"/>
        <v>76</v>
      </c>
      <c r="BK113" s="8">
        <f t="shared" si="98"/>
        <v>0</v>
      </c>
      <c r="BL113" s="8"/>
      <c r="BM113" s="13"/>
      <c r="BN113" s="14"/>
      <c r="BO113" s="14"/>
      <c r="BP113" s="14"/>
      <c r="BQ113" s="14"/>
      <c r="BR113" s="12"/>
    </row>
    <row r="114" spans="2:70" ht="13.8" x14ac:dyDescent="0.25">
      <c r="B114" s="134"/>
      <c r="C114" s="134"/>
      <c r="D114" s="132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6"/>
      <c r="AD114" s="136"/>
      <c r="AE114" s="136"/>
      <c r="AF114" s="136"/>
      <c r="AG114" s="13"/>
      <c r="AH114" s="14"/>
      <c r="AI114" s="44">
        <f t="shared" si="100"/>
        <v>77</v>
      </c>
      <c r="AJ114" s="55">
        <f>AJ113</f>
        <v>5314339.877683199</v>
      </c>
      <c r="AK114" s="59">
        <v>4</v>
      </c>
      <c r="AN114"/>
      <c r="AO114"/>
      <c r="AP114"/>
      <c r="AQ114"/>
      <c r="AR114"/>
      <c r="AS114"/>
      <c r="AT114"/>
      <c r="AU114"/>
      <c r="AV114"/>
      <c r="AW114"/>
      <c r="AX114"/>
      <c r="AY114" s="11"/>
      <c r="AZ114" s="11"/>
      <c r="BA114" s="36">
        <f t="shared" si="76"/>
        <v>77</v>
      </c>
      <c r="BB114" s="35">
        <f t="shared" si="82"/>
        <v>54085.513140703493</v>
      </c>
      <c r="BC114" s="120"/>
      <c r="BD114" s="307">
        <f t="shared" si="77"/>
        <v>77</v>
      </c>
      <c r="BE114" s="303">
        <f t="shared" si="103"/>
        <v>38154.598392930842</v>
      </c>
      <c r="BF114" s="208"/>
      <c r="BG114" s="37">
        <f t="shared" si="101"/>
        <v>77</v>
      </c>
      <c r="BH114" s="8">
        <f t="shared" si="97"/>
        <v>431.52439806787572</v>
      </c>
      <c r="BI114" s="8"/>
      <c r="BJ114" s="37">
        <f t="shared" si="102"/>
        <v>77</v>
      </c>
      <c r="BK114" s="8">
        <f t="shared" si="98"/>
        <v>0</v>
      </c>
      <c r="BL114" s="8"/>
      <c r="BM114" s="13"/>
      <c r="BN114" s="14"/>
      <c r="BO114" s="14"/>
      <c r="BP114" s="14"/>
      <c r="BQ114" s="14"/>
      <c r="BR114" s="12"/>
    </row>
    <row r="115" spans="2:70" ht="13.8" x14ac:dyDescent="0.25"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6"/>
      <c r="AD115" s="136"/>
      <c r="AE115" s="136"/>
      <c r="AF115" s="136"/>
      <c r="AG115" s="13"/>
      <c r="AH115" s="14"/>
      <c r="AI115" s="44">
        <f t="shared" si="100"/>
        <v>78</v>
      </c>
      <c r="AJ115" s="55">
        <f t="shared" si="99"/>
        <v>5314339.877683199</v>
      </c>
      <c r="AK115" s="59">
        <v>5</v>
      </c>
      <c r="AN115"/>
      <c r="AO115"/>
      <c r="AP115"/>
      <c r="AQ115"/>
      <c r="AR115"/>
      <c r="AS115"/>
      <c r="AT115"/>
      <c r="AU115"/>
      <c r="AV115"/>
      <c r="AW115"/>
      <c r="AX115"/>
      <c r="AY115" s="11"/>
      <c r="AZ115" s="11"/>
      <c r="BA115" s="36">
        <f t="shared" si="76"/>
        <v>78</v>
      </c>
      <c r="BB115" s="35">
        <f t="shared" ref="BB115:BB146" si="104">SUM(VLOOKUP(BA115,$AI$39:$AJ$158,2,0)/$B$10*$K$30,VLOOKUP(BA115,$AI$39:$AJ$158,2,0)*($G$15*(100%-$BB$31+$BB$29))*1.16,VLOOKUP(BA115,$AI$39:$AJ$158,2,0)*$I$15,VLOOKUP(BA115,$AI$39:$AJ$158,2,0)*$J$15)</f>
        <v>54085.513140703493</v>
      </c>
      <c r="BC115" s="120"/>
      <c r="BD115" s="307">
        <f t="shared" si="77"/>
        <v>78</v>
      </c>
      <c r="BE115" s="303">
        <f t="shared" si="103"/>
        <v>38154.598392930842</v>
      </c>
      <c r="BF115" s="208"/>
      <c r="BG115" s="37">
        <f t="shared" si="101"/>
        <v>78</v>
      </c>
      <c r="BH115" s="8">
        <f t="shared" si="97"/>
        <v>431.52439806787572</v>
      </c>
      <c r="BI115" s="8"/>
      <c r="BJ115" s="37">
        <f t="shared" si="102"/>
        <v>78</v>
      </c>
      <c r="BK115" s="8">
        <f t="shared" si="98"/>
        <v>0</v>
      </c>
      <c r="BL115" s="8"/>
      <c r="BM115" s="13"/>
      <c r="BN115" s="14"/>
      <c r="BO115" s="14"/>
      <c r="BP115" s="14"/>
      <c r="BQ115" s="14"/>
      <c r="BR115" s="12"/>
    </row>
    <row r="116" spans="2:70" ht="13.8" x14ac:dyDescent="0.25"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6"/>
      <c r="AD116" s="136"/>
      <c r="AE116" s="136"/>
      <c r="AF116" s="136"/>
      <c r="AG116" s="13"/>
      <c r="AH116" s="14"/>
      <c r="AI116" s="44">
        <f t="shared" si="100"/>
        <v>79</v>
      </c>
      <c r="AJ116" s="55">
        <f t="shared" si="99"/>
        <v>5314339.877683199</v>
      </c>
      <c r="AK116" s="59">
        <v>6</v>
      </c>
      <c r="AN116"/>
      <c r="AO116"/>
      <c r="AP116"/>
      <c r="AQ116"/>
      <c r="AR116"/>
      <c r="AS116"/>
      <c r="AT116"/>
      <c r="AU116"/>
      <c r="AV116"/>
      <c r="AW116"/>
      <c r="AX116"/>
      <c r="AY116" s="11"/>
      <c r="AZ116" s="11"/>
      <c r="BA116" s="36">
        <f t="shared" si="76"/>
        <v>79</v>
      </c>
      <c r="BB116" s="35">
        <f t="shared" si="104"/>
        <v>54085.513140703493</v>
      </c>
      <c r="BC116" s="120"/>
      <c r="BD116" s="307">
        <f t="shared" si="77"/>
        <v>79</v>
      </c>
      <c r="BE116" s="303">
        <f t="shared" si="103"/>
        <v>38154.598392930842</v>
      </c>
      <c r="BF116" s="208"/>
      <c r="BG116" s="37">
        <f t="shared" si="101"/>
        <v>79</v>
      </c>
      <c r="BH116" s="8">
        <f t="shared" si="97"/>
        <v>431.52439806787572</v>
      </c>
      <c r="BI116" s="8"/>
      <c r="BJ116" s="37">
        <f t="shared" si="102"/>
        <v>79</v>
      </c>
      <c r="BK116" s="8">
        <f t="shared" si="98"/>
        <v>0</v>
      </c>
      <c r="BL116" s="8"/>
      <c r="BM116" s="13"/>
      <c r="BN116" s="14"/>
      <c r="BO116" s="14"/>
      <c r="BP116" s="14"/>
      <c r="BQ116" s="14"/>
      <c r="BR116" s="12"/>
    </row>
    <row r="117" spans="2:70" ht="13.8" x14ac:dyDescent="0.25"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6"/>
      <c r="AD117" s="136"/>
      <c r="AE117" s="136"/>
      <c r="AF117" s="136"/>
      <c r="AG117" s="13"/>
      <c r="AH117" s="14"/>
      <c r="AI117" s="44">
        <f t="shared" si="100"/>
        <v>80</v>
      </c>
      <c r="AJ117" s="55">
        <f t="shared" si="99"/>
        <v>5314339.877683199</v>
      </c>
      <c r="AK117" s="59">
        <v>7</v>
      </c>
      <c r="AN117"/>
      <c r="AO117"/>
      <c r="AP117"/>
      <c r="AQ117"/>
      <c r="AR117"/>
      <c r="AS117"/>
      <c r="AT117"/>
      <c r="AU117"/>
      <c r="AV117"/>
      <c r="AW117"/>
      <c r="AX117"/>
      <c r="AY117" s="11"/>
      <c r="AZ117" s="11"/>
      <c r="BA117" s="36">
        <f t="shared" si="76"/>
        <v>80</v>
      </c>
      <c r="BB117" s="35">
        <f t="shared" si="104"/>
        <v>54085.513140703493</v>
      </c>
      <c r="BC117" s="120"/>
      <c r="BD117" s="307">
        <f t="shared" si="77"/>
        <v>80</v>
      </c>
      <c r="BE117" s="303">
        <f t="shared" si="103"/>
        <v>38154.598392930842</v>
      </c>
      <c r="BF117" s="208"/>
      <c r="BG117" s="37">
        <f t="shared" si="101"/>
        <v>80</v>
      </c>
      <c r="BH117" s="8">
        <f t="shared" si="97"/>
        <v>431.52439806787572</v>
      </c>
      <c r="BI117" s="8"/>
      <c r="BJ117" s="37">
        <f t="shared" si="102"/>
        <v>80</v>
      </c>
      <c r="BK117" s="8">
        <f t="shared" si="98"/>
        <v>0</v>
      </c>
      <c r="BL117" s="8"/>
      <c r="BM117" s="13"/>
      <c r="BN117" s="14"/>
      <c r="BO117" s="14"/>
      <c r="BP117" s="14"/>
      <c r="BQ117" s="14"/>
      <c r="BR117" s="12"/>
    </row>
    <row r="118" spans="2:70" ht="13.8" x14ac:dyDescent="0.25"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6"/>
      <c r="AD118" s="136"/>
      <c r="AE118" s="136"/>
      <c r="AF118" s="136"/>
      <c r="AG118" s="13"/>
      <c r="AH118" s="14"/>
      <c r="AI118" s="44">
        <f t="shared" si="100"/>
        <v>81</v>
      </c>
      <c r="AJ118" s="55">
        <f t="shared" si="99"/>
        <v>5314339.877683199</v>
      </c>
      <c r="AK118" s="59">
        <v>8</v>
      </c>
      <c r="AN118"/>
      <c r="AO118"/>
      <c r="AP118"/>
      <c r="AQ118"/>
      <c r="AR118"/>
      <c r="AS118"/>
      <c r="AT118"/>
      <c r="AU118"/>
      <c r="AV118"/>
      <c r="AW118"/>
      <c r="AX118"/>
      <c r="AY118" s="11"/>
      <c r="AZ118" s="11"/>
      <c r="BA118" s="36">
        <f t="shared" si="76"/>
        <v>81</v>
      </c>
      <c r="BB118" s="35">
        <f t="shared" si="104"/>
        <v>54085.513140703493</v>
      </c>
      <c r="BC118" s="120"/>
      <c r="BD118" s="307">
        <f t="shared" si="77"/>
        <v>81</v>
      </c>
      <c r="BE118" s="303">
        <f t="shared" si="103"/>
        <v>38154.598392930842</v>
      </c>
      <c r="BF118" s="208"/>
      <c r="BG118" s="37">
        <f t="shared" si="101"/>
        <v>81</v>
      </c>
      <c r="BH118" s="8">
        <f t="shared" si="97"/>
        <v>431.52439806787572</v>
      </c>
      <c r="BI118" s="8"/>
      <c r="BJ118" s="37">
        <f t="shared" si="102"/>
        <v>81</v>
      </c>
      <c r="BK118" s="8">
        <f t="shared" si="98"/>
        <v>0</v>
      </c>
      <c r="BL118" s="8"/>
      <c r="BM118" s="13"/>
      <c r="BN118" s="14"/>
      <c r="BO118" s="14"/>
      <c r="BP118" s="14"/>
      <c r="BQ118" s="14"/>
      <c r="BR118" s="12"/>
    </row>
    <row r="119" spans="2:70" ht="13.8" x14ac:dyDescent="0.25"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6"/>
      <c r="AD119" s="136"/>
      <c r="AE119" s="136"/>
      <c r="AF119" s="136"/>
      <c r="AG119" s="13"/>
      <c r="AH119" s="14"/>
      <c r="AI119" s="44">
        <f t="shared" si="100"/>
        <v>82</v>
      </c>
      <c r="AJ119" s="55">
        <f t="shared" si="99"/>
        <v>5314339.877683199</v>
      </c>
      <c r="AK119" s="59">
        <v>9</v>
      </c>
      <c r="AN119"/>
      <c r="AO119"/>
      <c r="AP119"/>
      <c r="AQ119"/>
      <c r="AR119"/>
      <c r="AS119"/>
      <c r="AT119"/>
      <c r="AU119"/>
      <c r="AV119"/>
      <c r="AW119"/>
      <c r="AX119"/>
      <c r="AY119" s="11"/>
      <c r="AZ119" s="11"/>
      <c r="BA119" s="36">
        <f t="shared" si="76"/>
        <v>82</v>
      </c>
      <c r="BB119" s="35">
        <f t="shared" si="104"/>
        <v>54085.513140703493</v>
      </c>
      <c r="BC119" s="120"/>
      <c r="BD119" s="307">
        <f t="shared" si="77"/>
        <v>82</v>
      </c>
      <c r="BE119" s="303">
        <f t="shared" si="103"/>
        <v>38154.598392930842</v>
      </c>
      <c r="BF119" s="208"/>
      <c r="BG119" s="37">
        <f t="shared" si="101"/>
        <v>82</v>
      </c>
      <c r="BH119" s="8">
        <f t="shared" si="97"/>
        <v>431.52439806787572</v>
      </c>
      <c r="BI119" s="8"/>
      <c r="BJ119" s="37">
        <f t="shared" si="102"/>
        <v>82</v>
      </c>
      <c r="BK119" s="8">
        <f t="shared" si="98"/>
        <v>0</v>
      </c>
      <c r="BL119" s="8"/>
      <c r="BM119" s="13"/>
      <c r="BN119" s="14"/>
      <c r="BO119" s="14"/>
      <c r="BP119" s="14"/>
      <c r="BQ119" s="14"/>
      <c r="BR119" s="12"/>
    </row>
    <row r="120" spans="2:70" ht="13.8" x14ac:dyDescent="0.25"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6"/>
      <c r="AD120" s="136"/>
      <c r="AE120" s="136"/>
      <c r="AF120" s="136"/>
      <c r="AG120" s="13"/>
      <c r="AH120" s="14"/>
      <c r="AI120" s="44">
        <f t="shared" si="100"/>
        <v>83</v>
      </c>
      <c r="AJ120" s="55">
        <f t="shared" si="99"/>
        <v>5314339.877683199</v>
      </c>
      <c r="AK120" s="59">
        <v>10</v>
      </c>
      <c r="AN120"/>
      <c r="AO120"/>
      <c r="AP120"/>
      <c r="AQ120"/>
      <c r="AR120"/>
      <c r="AS120"/>
      <c r="AT120"/>
      <c r="AU120"/>
      <c r="AV120"/>
      <c r="AW120"/>
      <c r="AX120"/>
      <c r="AY120" s="11"/>
      <c r="AZ120" s="11"/>
      <c r="BA120" s="36">
        <f t="shared" si="76"/>
        <v>83</v>
      </c>
      <c r="BB120" s="35">
        <f t="shared" si="104"/>
        <v>54085.513140703493</v>
      </c>
      <c r="BC120" s="120"/>
      <c r="BD120" s="307">
        <f t="shared" si="77"/>
        <v>83</v>
      </c>
      <c r="BE120" s="303">
        <f t="shared" si="103"/>
        <v>38154.598392930842</v>
      </c>
      <c r="BF120" s="208"/>
      <c r="BG120" s="37">
        <f t="shared" si="101"/>
        <v>83</v>
      </c>
      <c r="BH120" s="8">
        <f t="shared" si="97"/>
        <v>431.52439806787572</v>
      </c>
      <c r="BI120" s="8"/>
      <c r="BJ120" s="37">
        <f t="shared" si="102"/>
        <v>83</v>
      </c>
      <c r="BK120" s="8">
        <f t="shared" si="98"/>
        <v>0</v>
      </c>
      <c r="BL120" s="8"/>
      <c r="BM120" s="13"/>
      <c r="BN120" s="14"/>
      <c r="BO120" s="14"/>
      <c r="BP120" s="14"/>
      <c r="BQ120" s="14"/>
      <c r="BR120" s="12"/>
    </row>
    <row r="121" spans="2:70" ht="13.8" x14ac:dyDescent="0.25"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6"/>
      <c r="AD121" s="136"/>
      <c r="AE121" s="136"/>
      <c r="AF121" s="136"/>
      <c r="AG121" s="13"/>
      <c r="AH121" s="14"/>
      <c r="AI121" s="44">
        <f t="shared" si="100"/>
        <v>84</v>
      </c>
      <c r="AJ121" s="55">
        <f t="shared" si="99"/>
        <v>5314339.877683199</v>
      </c>
      <c r="AK121" s="59">
        <v>11</v>
      </c>
      <c r="AN121"/>
      <c r="AO121"/>
      <c r="AP121"/>
      <c r="AQ121"/>
      <c r="AR121"/>
      <c r="AS121"/>
      <c r="AT121"/>
      <c r="AU121"/>
      <c r="AV121"/>
      <c r="AW121"/>
      <c r="AX121"/>
      <c r="AY121" s="11"/>
      <c r="AZ121" s="11"/>
      <c r="BA121" s="36">
        <f t="shared" si="76"/>
        <v>84</v>
      </c>
      <c r="BB121" s="35">
        <f t="shared" si="104"/>
        <v>54085.513140703493</v>
      </c>
      <c r="BC121" s="120"/>
      <c r="BD121" s="307">
        <f t="shared" si="77"/>
        <v>84</v>
      </c>
      <c r="BE121" s="303">
        <f t="shared" si="103"/>
        <v>38154.598392930842</v>
      </c>
      <c r="BF121" s="208"/>
      <c r="BG121" s="37">
        <f t="shared" si="101"/>
        <v>84</v>
      </c>
      <c r="BH121" s="8">
        <f t="shared" si="97"/>
        <v>431.52439806787572</v>
      </c>
      <c r="BI121" s="8"/>
      <c r="BJ121" s="37">
        <f t="shared" si="102"/>
        <v>84</v>
      </c>
      <c r="BK121" s="8">
        <f t="shared" si="98"/>
        <v>0</v>
      </c>
      <c r="BL121" s="8"/>
      <c r="BM121" s="13"/>
      <c r="BN121" s="14"/>
      <c r="BO121" s="14"/>
      <c r="BP121" s="14"/>
      <c r="BQ121" s="14"/>
      <c r="BR121" s="12"/>
    </row>
    <row r="122" spans="2:70" ht="13.8" x14ac:dyDescent="0.25"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6"/>
      <c r="AD122" s="136"/>
      <c r="AE122" s="136"/>
      <c r="AF122" s="136"/>
      <c r="AG122" s="13"/>
      <c r="AH122" s="14"/>
      <c r="AI122" s="44">
        <f t="shared" si="100"/>
        <v>85</v>
      </c>
      <c r="AJ122" s="55">
        <f t="shared" si="99"/>
        <v>5314339.877683199</v>
      </c>
      <c r="AK122" s="59">
        <v>12</v>
      </c>
      <c r="AN122"/>
      <c r="AO122"/>
      <c r="AP122"/>
      <c r="AQ122"/>
      <c r="AR122"/>
      <c r="AS122"/>
      <c r="AT122"/>
      <c r="AU122"/>
      <c r="AV122"/>
      <c r="AW122"/>
      <c r="AX122"/>
      <c r="AY122" s="11"/>
      <c r="AZ122" s="11"/>
      <c r="BA122" s="36">
        <f t="shared" si="76"/>
        <v>85</v>
      </c>
      <c r="BB122" s="35">
        <f t="shared" si="104"/>
        <v>54085.513140703493</v>
      </c>
      <c r="BC122" s="120"/>
      <c r="BD122" s="307">
        <f t="shared" si="77"/>
        <v>85</v>
      </c>
      <c r="BE122" s="303">
        <f t="shared" si="103"/>
        <v>38154.598392930842</v>
      </c>
      <c r="BF122" s="208"/>
      <c r="BG122" s="37">
        <f t="shared" si="101"/>
        <v>85</v>
      </c>
      <c r="BH122" s="8">
        <f t="shared" si="97"/>
        <v>431.52439806787572</v>
      </c>
      <c r="BI122" s="8"/>
      <c r="BJ122" s="37">
        <f t="shared" si="102"/>
        <v>85</v>
      </c>
      <c r="BK122" s="8">
        <f t="shared" si="98"/>
        <v>0</v>
      </c>
      <c r="BL122" s="8"/>
      <c r="BM122" s="13"/>
      <c r="BN122" s="14"/>
      <c r="BO122" s="14"/>
      <c r="BP122" s="14"/>
      <c r="BQ122" s="14"/>
      <c r="BR122" s="12"/>
    </row>
    <row r="123" spans="2:70" ht="13.8" x14ac:dyDescent="0.25"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6"/>
      <c r="AD123" s="136"/>
      <c r="AE123" s="136"/>
      <c r="AF123" s="136"/>
      <c r="AG123" s="13"/>
      <c r="AH123" s="14"/>
      <c r="AI123" s="44">
        <f t="shared" si="100"/>
        <v>86</v>
      </c>
      <c r="AJ123" s="55">
        <f>((AJ122)+(AJ122*$E$29))</f>
        <v>5526913.4727905272</v>
      </c>
      <c r="AK123" s="59">
        <v>1</v>
      </c>
      <c r="AN123"/>
      <c r="AO123"/>
      <c r="AP123"/>
      <c r="AQ123"/>
      <c r="AR123"/>
      <c r="AS123"/>
      <c r="AT123"/>
      <c r="AU123"/>
      <c r="AV123"/>
      <c r="AW123"/>
      <c r="AX123"/>
      <c r="AY123" s="11"/>
      <c r="AZ123" s="11"/>
      <c r="BA123" s="36">
        <f t="shared" si="76"/>
        <v>86</v>
      </c>
      <c r="BB123" s="35">
        <f t="shared" si="104"/>
        <v>56248.933666331635</v>
      </c>
      <c r="BC123" s="120"/>
      <c r="BD123" s="307">
        <f t="shared" si="77"/>
        <v>86</v>
      </c>
      <c r="BE123" s="303">
        <f t="shared" si="103"/>
        <v>39680.782328648078</v>
      </c>
      <c r="BF123" s="208"/>
      <c r="BG123" s="37">
        <f t="shared" si="101"/>
        <v>86</v>
      </c>
      <c r="BH123" s="8">
        <f t="shared" si="97"/>
        <v>448.78537399059081</v>
      </c>
      <c r="BI123" s="8"/>
      <c r="BJ123" s="37">
        <f t="shared" si="102"/>
        <v>86</v>
      </c>
      <c r="BK123" s="8">
        <f t="shared" si="98"/>
        <v>0</v>
      </c>
      <c r="BL123" s="8"/>
      <c r="BM123" s="13"/>
      <c r="BN123" s="14"/>
      <c r="BO123" s="14"/>
      <c r="BP123" s="14"/>
      <c r="BQ123" s="14"/>
      <c r="BR123" s="12"/>
    </row>
    <row r="124" spans="2:70" ht="13.8" x14ac:dyDescent="0.25"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6"/>
      <c r="AD124" s="136"/>
      <c r="AE124" s="136"/>
      <c r="AF124" s="136"/>
      <c r="AG124" s="13"/>
      <c r="AH124" s="14"/>
      <c r="AI124" s="44">
        <f t="shared" si="100"/>
        <v>87</v>
      </c>
      <c r="AJ124" s="55">
        <f>AJ123</f>
        <v>5526913.4727905272</v>
      </c>
      <c r="AK124" s="59">
        <v>2</v>
      </c>
      <c r="AN124"/>
      <c r="AO124"/>
      <c r="AP124"/>
      <c r="AQ124"/>
      <c r="AR124"/>
      <c r="AS124"/>
      <c r="AT124"/>
      <c r="AU124"/>
      <c r="AV124"/>
      <c r="AW124"/>
      <c r="AX124"/>
      <c r="AY124" s="11"/>
      <c r="AZ124" s="11"/>
      <c r="BA124" s="36">
        <f t="shared" si="76"/>
        <v>87</v>
      </c>
      <c r="BB124" s="35">
        <f t="shared" si="104"/>
        <v>56248.933666331635</v>
      </c>
      <c r="BC124" s="120"/>
      <c r="BD124" s="307">
        <f t="shared" si="77"/>
        <v>87</v>
      </c>
      <c r="BE124" s="303">
        <f t="shared" si="103"/>
        <v>39680.782328648078</v>
      </c>
      <c r="BF124" s="208"/>
      <c r="BG124" s="37">
        <f t="shared" si="101"/>
        <v>87</v>
      </c>
      <c r="BH124" s="8">
        <f t="shared" si="97"/>
        <v>448.78537399059081</v>
      </c>
      <c r="BI124" s="8"/>
      <c r="BJ124" s="37">
        <f t="shared" si="102"/>
        <v>87</v>
      </c>
      <c r="BK124" s="8">
        <f t="shared" si="98"/>
        <v>0</v>
      </c>
      <c r="BL124" s="8"/>
      <c r="BM124" s="13"/>
      <c r="BN124" s="14"/>
      <c r="BO124" s="14"/>
      <c r="BP124" s="14"/>
      <c r="BQ124" s="14"/>
      <c r="BR124" s="12"/>
    </row>
    <row r="125" spans="2:70" ht="13.8" x14ac:dyDescent="0.25"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6"/>
      <c r="AD125" s="136"/>
      <c r="AE125" s="136"/>
      <c r="AF125" s="136"/>
      <c r="AG125" s="13"/>
      <c r="AH125" s="14"/>
      <c r="AI125" s="44">
        <f t="shared" si="100"/>
        <v>88</v>
      </c>
      <c r="AJ125" s="55">
        <f>AJ124</f>
        <v>5526913.4727905272</v>
      </c>
      <c r="AK125" s="59">
        <v>3</v>
      </c>
      <c r="AN125"/>
      <c r="AO125"/>
      <c r="AP125"/>
      <c r="AQ125"/>
      <c r="AR125"/>
      <c r="AS125"/>
      <c r="AT125"/>
      <c r="AU125"/>
      <c r="AV125"/>
      <c r="AW125"/>
      <c r="AX125"/>
      <c r="AY125" s="11"/>
      <c r="AZ125" s="11"/>
      <c r="BA125" s="36">
        <f t="shared" si="76"/>
        <v>88</v>
      </c>
      <c r="BB125" s="35">
        <f t="shared" si="104"/>
        <v>56248.933666331635</v>
      </c>
      <c r="BC125" s="120"/>
      <c r="BD125" s="307">
        <f t="shared" si="77"/>
        <v>88</v>
      </c>
      <c r="BE125" s="303">
        <f t="shared" si="103"/>
        <v>39680.782328648078</v>
      </c>
      <c r="BF125" s="208"/>
      <c r="BG125" s="37">
        <f t="shared" si="101"/>
        <v>88</v>
      </c>
      <c r="BH125" s="8">
        <f t="shared" si="97"/>
        <v>448.78537399059081</v>
      </c>
      <c r="BI125" s="8"/>
      <c r="BJ125" s="37">
        <f t="shared" si="102"/>
        <v>88</v>
      </c>
      <c r="BK125" s="8">
        <f t="shared" si="98"/>
        <v>0</v>
      </c>
      <c r="BL125" s="8"/>
      <c r="BM125" s="13"/>
      <c r="BN125" s="14"/>
      <c r="BO125" s="14"/>
      <c r="BP125" s="14"/>
      <c r="BQ125" s="14"/>
      <c r="BR125" s="12"/>
    </row>
    <row r="126" spans="2:70" ht="13.8" x14ac:dyDescent="0.25"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6"/>
      <c r="AD126" s="136"/>
      <c r="AE126" s="136"/>
      <c r="AF126" s="136"/>
      <c r="AG126" s="13"/>
      <c r="AH126" s="14"/>
      <c r="AI126" s="44">
        <f t="shared" si="100"/>
        <v>89</v>
      </c>
      <c r="AJ126" s="55">
        <f>AJ125</f>
        <v>5526913.4727905272</v>
      </c>
      <c r="AK126" s="59">
        <v>4</v>
      </c>
      <c r="AN126"/>
      <c r="AO126"/>
      <c r="AP126"/>
      <c r="AQ126"/>
      <c r="AR126"/>
      <c r="AS126"/>
      <c r="AT126"/>
      <c r="AU126"/>
      <c r="AV126"/>
      <c r="AW126"/>
      <c r="AX126"/>
      <c r="AY126" s="11"/>
      <c r="AZ126" s="11"/>
      <c r="BA126" s="36">
        <f t="shared" si="76"/>
        <v>89</v>
      </c>
      <c r="BB126" s="35">
        <f t="shared" si="104"/>
        <v>56248.933666331635</v>
      </c>
      <c r="BC126" s="120"/>
      <c r="BD126" s="307">
        <f t="shared" si="77"/>
        <v>89</v>
      </c>
      <c r="BE126" s="303">
        <f t="shared" si="103"/>
        <v>39680.782328648078</v>
      </c>
      <c r="BF126" s="208"/>
      <c r="BG126" s="37">
        <f t="shared" si="101"/>
        <v>89</v>
      </c>
      <c r="BH126" s="8">
        <f t="shared" si="97"/>
        <v>448.78537399059081</v>
      </c>
      <c r="BI126" s="8"/>
      <c r="BJ126" s="37">
        <f t="shared" si="102"/>
        <v>89</v>
      </c>
      <c r="BK126" s="8">
        <f t="shared" si="98"/>
        <v>0</v>
      </c>
      <c r="BL126" s="8"/>
      <c r="BM126" s="13"/>
      <c r="BN126" s="14"/>
      <c r="BO126" s="14"/>
      <c r="BP126" s="14"/>
      <c r="BQ126" s="14"/>
      <c r="BR126" s="12"/>
    </row>
    <row r="127" spans="2:70" ht="13.8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6"/>
      <c r="AD127" s="136"/>
      <c r="AE127" s="136"/>
      <c r="AF127" s="136"/>
      <c r="AG127" s="13"/>
      <c r="AH127" s="14"/>
      <c r="AI127" s="44">
        <f t="shared" si="100"/>
        <v>90</v>
      </c>
      <c r="AJ127" s="55">
        <f t="shared" si="99"/>
        <v>5526913.4727905272</v>
      </c>
      <c r="AK127" s="59">
        <v>5</v>
      </c>
      <c r="AN127"/>
      <c r="AO127"/>
      <c r="AP127"/>
      <c r="AQ127"/>
      <c r="AR127"/>
      <c r="AS127"/>
      <c r="AT127"/>
      <c r="AU127"/>
      <c r="AV127"/>
      <c r="AW127"/>
      <c r="AX127"/>
      <c r="AY127" s="11"/>
      <c r="AZ127" s="11"/>
      <c r="BA127" s="36">
        <f t="shared" si="76"/>
        <v>90</v>
      </c>
      <c r="BB127" s="35">
        <f t="shared" si="104"/>
        <v>56248.933666331635</v>
      </c>
      <c r="BC127" s="120"/>
      <c r="BD127" s="307">
        <f t="shared" si="77"/>
        <v>90</v>
      </c>
      <c r="BE127" s="303">
        <f t="shared" si="103"/>
        <v>39680.782328648078</v>
      </c>
      <c r="BF127" s="208"/>
      <c r="BG127" s="37">
        <f t="shared" si="101"/>
        <v>90</v>
      </c>
      <c r="BH127" s="8">
        <f t="shared" si="97"/>
        <v>448.78537399059081</v>
      </c>
      <c r="BI127" s="8"/>
      <c r="BJ127" s="37">
        <f t="shared" si="102"/>
        <v>90</v>
      </c>
      <c r="BK127" s="8">
        <f t="shared" si="98"/>
        <v>0</v>
      </c>
      <c r="BL127" s="8"/>
      <c r="BM127" s="13"/>
      <c r="BN127" s="14"/>
      <c r="BO127" s="14"/>
      <c r="BP127" s="14"/>
      <c r="BQ127" s="14"/>
      <c r="BR127" s="12"/>
    </row>
    <row r="128" spans="2:70" ht="13.8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6"/>
      <c r="AD128" s="136"/>
      <c r="AE128" s="136"/>
      <c r="AF128" s="136"/>
      <c r="AG128" s="13"/>
      <c r="AH128" s="14"/>
      <c r="AI128" s="44">
        <f t="shared" si="100"/>
        <v>91</v>
      </c>
      <c r="AJ128" s="55">
        <f t="shared" si="99"/>
        <v>5526913.4727905272</v>
      </c>
      <c r="AK128" s="59">
        <v>6</v>
      </c>
      <c r="AN128"/>
      <c r="AO128"/>
      <c r="AP128"/>
      <c r="AQ128"/>
      <c r="AR128"/>
      <c r="AS128"/>
      <c r="AT128"/>
      <c r="AU128"/>
      <c r="AV128"/>
      <c r="AW128"/>
      <c r="AX128"/>
      <c r="AY128" s="11"/>
      <c r="AZ128" s="11"/>
      <c r="BA128" s="36">
        <f t="shared" si="76"/>
        <v>91</v>
      </c>
      <c r="BB128" s="35">
        <f t="shared" si="104"/>
        <v>56248.933666331635</v>
      </c>
      <c r="BC128" s="120"/>
      <c r="BD128" s="307">
        <f t="shared" si="77"/>
        <v>91</v>
      </c>
      <c r="BE128" s="303">
        <f t="shared" si="103"/>
        <v>39680.782328648078</v>
      </c>
      <c r="BF128" s="208"/>
      <c r="BG128" s="37">
        <f t="shared" si="101"/>
        <v>91</v>
      </c>
      <c r="BH128" s="8">
        <f t="shared" si="97"/>
        <v>448.78537399059081</v>
      </c>
      <c r="BI128" s="8"/>
      <c r="BJ128" s="37">
        <f t="shared" si="102"/>
        <v>91</v>
      </c>
      <c r="BK128" s="8">
        <f t="shared" si="98"/>
        <v>0</v>
      </c>
      <c r="BL128" s="8"/>
      <c r="BM128" s="13"/>
      <c r="BN128" s="14"/>
      <c r="BO128" s="14"/>
      <c r="BP128" s="14"/>
      <c r="BQ128" s="14"/>
      <c r="BR128" s="12"/>
    </row>
    <row r="129" spans="2:70" ht="13.8" x14ac:dyDescent="0.25"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6"/>
      <c r="AD129" s="136"/>
      <c r="AE129" s="136"/>
      <c r="AF129" s="136"/>
      <c r="AG129" s="13"/>
      <c r="AH129" s="14"/>
      <c r="AI129" s="44">
        <f t="shared" si="100"/>
        <v>92</v>
      </c>
      <c r="AJ129" s="55">
        <f>AJ128</f>
        <v>5526913.4727905272</v>
      </c>
      <c r="AK129" s="59">
        <v>7</v>
      </c>
      <c r="AN129"/>
      <c r="AO129"/>
      <c r="AP129"/>
      <c r="AQ129"/>
      <c r="AR129"/>
      <c r="AS129"/>
      <c r="AT129"/>
      <c r="AU129"/>
      <c r="AV129"/>
      <c r="AW129"/>
      <c r="AX129"/>
      <c r="AY129" s="11"/>
      <c r="AZ129" s="11"/>
      <c r="BA129" s="36">
        <f>BA128+1</f>
        <v>92</v>
      </c>
      <c r="BB129" s="35">
        <f t="shared" si="104"/>
        <v>56248.933666331635</v>
      </c>
      <c r="BC129" s="120"/>
      <c r="BD129" s="308">
        <f>BD128+1</f>
        <v>92</v>
      </c>
      <c r="BE129" s="303">
        <f t="shared" si="103"/>
        <v>39680.782328648078</v>
      </c>
      <c r="BF129" s="208"/>
      <c r="BG129" s="37">
        <f t="shared" si="101"/>
        <v>92</v>
      </c>
      <c r="BH129" s="8">
        <f t="shared" si="97"/>
        <v>448.78537399059081</v>
      </c>
      <c r="BI129" s="11"/>
      <c r="BJ129" s="37">
        <f t="shared" si="102"/>
        <v>92</v>
      </c>
      <c r="BK129" s="8">
        <f t="shared" si="98"/>
        <v>0</v>
      </c>
      <c r="BL129" s="8"/>
      <c r="BM129" s="3"/>
      <c r="BN129" s="11"/>
      <c r="BO129" s="3"/>
      <c r="BP129" s="3"/>
      <c r="BQ129" s="3"/>
      <c r="BR129" s="3"/>
    </row>
    <row r="130" spans="2:70" ht="13.8" x14ac:dyDescent="0.25"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6"/>
      <c r="AD130" s="136"/>
      <c r="AE130" s="136"/>
      <c r="AF130" s="136"/>
      <c r="AG130" s="13"/>
      <c r="AH130" s="14"/>
      <c r="AI130" s="44">
        <f t="shared" si="100"/>
        <v>93</v>
      </c>
      <c r="AJ130" s="55">
        <f>AJ129</f>
        <v>5526913.4727905272</v>
      </c>
      <c r="AK130" s="59">
        <v>8</v>
      </c>
      <c r="AN130"/>
      <c r="AO130"/>
      <c r="AP130"/>
      <c r="AQ130"/>
      <c r="AR130"/>
      <c r="AS130"/>
      <c r="AT130"/>
      <c r="AU130"/>
      <c r="AV130"/>
      <c r="AW130"/>
      <c r="AX130"/>
      <c r="AY130" s="11"/>
      <c r="AZ130" s="11"/>
      <c r="BA130" s="36">
        <f t="shared" ref="BA130:BA158" si="105">+BA129+1</f>
        <v>93</v>
      </c>
      <c r="BB130" s="35">
        <f t="shared" si="104"/>
        <v>56248.933666331635</v>
      </c>
      <c r="BC130" s="120"/>
      <c r="BD130" s="307">
        <f t="shared" ref="BD130:BD158" si="106">+BD129+1</f>
        <v>93</v>
      </c>
      <c r="BE130" s="303">
        <f t="shared" si="103"/>
        <v>39680.782328648078</v>
      </c>
      <c r="BF130" s="208"/>
      <c r="BG130" s="37">
        <f t="shared" si="101"/>
        <v>93</v>
      </c>
      <c r="BH130" s="8">
        <f t="shared" si="97"/>
        <v>448.78537399059081</v>
      </c>
      <c r="BI130" s="11"/>
      <c r="BJ130" s="37">
        <f t="shared" si="102"/>
        <v>93</v>
      </c>
      <c r="BK130" s="8">
        <f t="shared" si="98"/>
        <v>0</v>
      </c>
      <c r="BL130" s="8"/>
      <c r="BM130" s="3"/>
      <c r="BN130" s="11"/>
      <c r="BO130" s="3"/>
      <c r="BP130" s="3"/>
      <c r="BQ130" s="3"/>
      <c r="BR130" s="3"/>
    </row>
    <row r="131" spans="2:70" ht="13.8" x14ac:dyDescent="0.25"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6"/>
      <c r="AD131" s="136"/>
      <c r="AE131" s="136"/>
      <c r="AF131" s="136"/>
      <c r="AG131" s="13"/>
      <c r="AH131" s="14"/>
      <c r="AI131" s="44">
        <f t="shared" si="100"/>
        <v>94</v>
      </c>
      <c r="AJ131" s="55">
        <f t="shared" ref="AJ131:AJ134" si="107">AJ130</f>
        <v>5526913.4727905272</v>
      </c>
      <c r="AK131" s="59">
        <v>9</v>
      </c>
      <c r="AN131"/>
      <c r="AO131"/>
      <c r="AP131"/>
      <c r="AQ131"/>
      <c r="AR131"/>
      <c r="AS131"/>
      <c r="AT131"/>
      <c r="AU131"/>
      <c r="AV131"/>
      <c r="AW131"/>
      <c r="AX131"/>
      <c r="AY131" s="11"/>
      <c r="AZ131" s="11"/>
      <c r="BA131" s="36">
        <f t="shared" si="105"/>
        <v>94</v>
      </c>
      <c r="BB131" s="35">
        <f t="shared" si="104"/>
        <v>56248.933666331635</v>
      </c>
      <c r="BC131" s="120"/>
      <c r="BD131" s="307">
        <f t="shared" si="106"/>
        <v>94</v>
      </c>
      <c r="BE131" s="303">
        <f t="shared" si="103"/>
        <v>39680.782328648078</v>
      </c>
      <c r="BF131" s="208"/>
      <c r="BG131" s="37">
        <f t="shared" si="101"/>
        <v>94</v>
      </c>
      <c r="BH131" s="8">
        <f t="shared" ref="BH131:BH158" si="108">VLOOKUP(BA131,$AI$39:$AJ$158,2,0)*($G$15*1.16)*5%*(IF(Q71/BB131=1,1,Q71/BB131))</f>
        <v>448.78537399059081</v>
      </c>
      <c r="BI131" s="8"/>
      <c r="BJ131" s="37">
        <f t="shared" si="102"/>
        <v>94</v>
      </c>
      <c r="BK131" s="8">
        <f t="shared" ref="BK131:BK158" si="109">IF(BH131=0,0,(AJ131/$B$10+AJ131*$G$15*1.16)-BE131)*(IF(Q71/BB131=1,1,Q71/BB131))*AY71</f>
        <v>0</v>
      </c>
      <c r="BL131" s="8"/>
      <c r="BM131" s="3"/>
      <c r="BN131" s="11"/>
      <c r="BO131" s="3"/>
      <c r="BP131" s="3"/>
      <c r="BQ131" s="3"/>
      <c r="BR131" s="3"/>
    </row>
    <row r="132" spans="2:70" ht="13.8" x14ac:dyDescent="0.25"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6"/>
      <c r="AD132" s="136"/>
      <c r="AE132" s="136"/>
      <c r="AF132" s="136"/>
      <c r="AG132" s="13"/>
      <c r="AH132" s="14"/>
      <c r="AI132" s="44">
        <f t="shared" si="100"/>
        <v>95</v>
      </c>
      <c r="AJ132" s="55">
        <f t="shared" si="107"/>
        <v>5526913.4727905272</v>
      </c>
      <c r="AK132" s="59">
        <v>10</v>
      </c>
      <c r="AN132"/>
      <c r="AO132"/>
      <c r="AP132"/>
      <c r="AQ132"/>
      <c r="AR132"/>
      <c r="AS132"/>
      <c r="AT132"/>
      <c r="AU132"/>
      <c r="AV132"/>
      <c r="AW132"/>
      <c r="AX132"/>
      <c r="AY132" s="11"/>
      <c r="AZ132" s="11"/>
      <c r="BA132" s="36">
        <f t="shared" si="105"/>
        <v>95</v>
      </c>
      <c r="BB132" s="35">
        <f t="shared" si="104"/>
        <v>56248.933666331635</v>
      </c>
      <c r="BC132" s="120"/>
      <c r="BD132" s="307">
        <f t="shared" si="106"/>
        <v>95</v>
      </c>
      <c r="BE132" s="303">
        <f t="shared" si="103"/>
        <v>39680.782328648078</v>
      </c>
      <c r="BF132" s="208"/>
      <c r="BG132" s="37">
        <f t="shared" si="101"/>
        <v>95</v>
      </c>
      <c r="BH132" s="8">
        <f t="shared" si="108"/>
        <v>448.78537399059081</v>
      </c>
      <c r="BI132" s="8"/>
      <c r="BJ132" s="37">
        <f t="shared" si="102"/>
        <v>95</v>
      </c>
      <c r="BK132" s="8">
        <f t="shared" si="109"/>
        <v>0</v>
      </c>
      <c r="BL132" s="8"/>
      <c r="BM132" s="3"/>
      <c r="BN132" s="11"/>
      <c r="BO132" s="3"/>
      <c r="BP132" s="3"/>
      <c r="BQ132" s="3"/>
      <c r="BR132" s="3"/>
    </row>
    <row r="133" spans="2:70" ht="13.8" x14ac:dyDescent="0.25"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6"/>
      <c r="AD133" s="136"/>
      <c r="AE133" s="136"/>
      <c r="AF133" s="136"/>
      <c r="AG133" s="13"/>
      <c r="AH133" s="14"/>
      <c r="AI133" s="44">
        <f t="shared" si="100"/>
        <v>96</v>
      </c>
      <c r="AJ133" s="55">
        <f t="shared" si="107"/>
        <v>5526913.4727905272</v>
      </c>
      <c r="AK133" s="59">
        <v>11</v>
      </c>
      <c r="AN133"/>
      <c r="AO133"/>
      <c r="AP133"/>
      <c r="AQ133"/>
      <c r="AR133"/>
      <c r="AS133"/>
      <c r="AT133"/>
      <c r="AU133"/>
      <c r="AV133"/>
      <c r="AW133"/>
      <c r="AX133"/>
      <c r="AY133" s="11"/>
      <c r="AZ133" s="11"/>
      <c r="BA133" s="36">
        <f t="shared" si="105"/>
        <v>96</v>
      </c>
      <c r="BB133" s="35">
        <f t="shared" si="104"/>
        <v>56248.933666331635</v>
      </c>
      <c r="BC133" s="120"/>
      <c r="BD133" s="307">
        <f t="shared" si="106"/>
        <v>96</v>
      </c>
      <c r="BE133" s="303">
        <f t="shared" si="103"/>
        <v>39680.782328648078</v>
      </c>
      <c r="BF133" s="208"/>
      <c r="BG133" s="37">
        <f t="shared" si="101"/>
        <v>96</v>
      </c>
      <c r="BH133" s="8">
        <f t="shared" si="108"/>
        <v>448.78537399059081</v>
      </c>
      <c r="BI133" s="8"/>
      <c r="BJ133" s="37">
        <f t="shared" si="102"/>
        <v>96</v>
      </c>
      <c r="BK133" s="8">
        <f t="shared" si="109"/>
        <v>0</v>
      </c>
      <c r="BL133" s="8"/>
      <c r="BM133" s="3"/>
      <c r="BN133" s="11"/>
      <c r="BO133" s="3"/>
      <c r="BP133" s="3"/>
      <c r="BQ133" s="3"/>
      <c r="BR133" s="3"/>
    </row>
    <row r="134" spans="2:70" ht="13.8" x14ac:dyDescent="0.25"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6"/>
      <c r="AD134" s="136"/>
      <c r="AE134" s="136"/>
      <c r="AF134" s="136"/>
      <c r="AG134" s="13"/>
      <c r="AH134" s="14"/>
      <c r="AI134" s="44">
        <f t="shared" si="100"/>
        <v>97</v>
      </c>
      <c r="AJ134" s="55">
        <f t="shared" si="107"/>
        <v>5526913.4727905272</v>
      </c>
      <c r="AK134" s="59">
        <v>12</v>
      </c>
      <c r="AN134"/>
      <c r="AO134"/>
      <c r="AP134"/>
      <c r="AQ134"/>
      <c r="AR134"/>
      <c r="AS134"/>
      <c r="AT134"/>
      <c r="AU134"/>
      <c r="AV134"/>
      <c r="AW134"/>
      <c r="AX134"/>
      <c r="AY134" s="11"/>
      <c r="AZ134" s="11"/>
      <c r="BA134" s="36">
        <f t="shared" si="105"/>
        <v>97</v>
      </c>
      <c r="BB134" s="35">
        <f t="shared" si="104"/>
        <v>56248.933666331635</v>
      </c>
      <c r="BC134" s="120"/>
      <c r="BD134" s="307">
        <f t="shared" si="106"/>
        <v>97</v>
      </c>
      <c r="BE134" s="303">
        <f t="shared" si="103"/>
        <v>39680.782328648078</v>
      </c>
      <c r="BF134" s="208"/>
      <c r="BG134" s="37">
        <f t="shared" si="101"/>
        <v>97</v>
      </c>
      <c r="BH134" s="8">
        <f t="shared" si="108"/>
        <v>448.78537399059081</v>
      </c>
      <c r="BI134" s="11"/>
      <c r="BJ134" s="37">
        <f t="shared" si="102"/>
        <v>97</v>
      </c>
      <c r="BK134" s="8">
        <f t="shared" si="109"/>
        <v>0</v>
      </c>
      <c r="BL134" s="8"/>
      <c r="BM134" s="3"/>
      <c r="BN134" s="11"/>
      <c r="BO134" s="3"/>
      <c r="BP134" s="3"/>
      <c r="BQ134" s="3"/>
      <c r="BR134" s="3"/>
    </row>
    <row r="135" spans="2:70" ht="13.8" x14ac:dyDescent="0.25"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6"/>
      <c r="AD135" s="136"/>
      <c r="AE135" s="136"/>
      <c r="AF135" s="136"/>
      <c r="AG135" s="13"/>
      <c r="AH135" s="14"/>
      <c r="AI135" s="44">
        <f t="shared" si="100"/>
        <v>98</v>
      </c>
      <c r="AJ135" s="55">
        <f>((AJ134)+(AJ134*$E$29))</f>
        <v>5747990.0117021482</v>
      </c>
      <c r="AK135" s="59">
        <v>1</v>
      </c>
      <c r="AN135"/>
      <c r="AO135"/>
      <c r="AP135"/>
      <c r="AQ135"/>
      <c r="AR135"/>
      <c r="AS135"/>
      <c r="AT135"/>
      <c r="AU135"/>
      <c r="AV135"/>
      <c r="AW135"/>
      <c r="AX135"/>
      <c r="AY135" s="11"/>
      <c r="AZ135" s="11"/>
      <c r="BA135" s="36">
        <f t="shared" si="105"/>
        <v>98</v>
      </c>
      <c r="BB135" s="35">
        <f t="shared" si="104"/>
        <v>58498.891012984895</v>
      </c>
      <c r="BC135" s="120"/>
      <c r="BD135" s="307">
        <f t="shared" si="106"/>
        <v>98</v>
      </c>
      <c r="BE135" s="303">
        <f t="shared" si="103"/>
        <v>41268.013621794002</v>
      </c>
      <c r="BF135" s="208"/>
      <c r="BG135" s="37">
        <f t="shared" si="101"/>
        <v>98</v>
      </c>
      <c r="BH135" s="8">
        <f t="shared" si="108"/>
        <v>466.73678895021442</v>
      </c>
      <c r="BI135" s="11"/>
      <c r="BJ135" s="37">
        <f t="shared" si="102"/>
        <v>98</v>
      </c>
      <c r="BK135" s="8">
        <f t="shared" si="109"/>
        <v>0</v>
      </c>
      <c r="BL135" s="8"/>
      <c r="BM135" s="3"/>
      <c r="BN135" s="11"/>
      <c r="BO135" s="3"/>
      <c r="BP135" s="3"/>
      <c r="BQ135" s="3"/>
      <c r="BR135" s="3"/>
    </row>
    <row r="136" spans="2:70" ht="13.8" x14ac:dyDescent="0.25"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G136" s="13"/>
      <c r="AH136" s="14"/>
      <c r="AI136" s="44">
        <f t="shared" si="100"/>
        <v>99</v>
      </c>
      <c r="AJ136" s="55">
        <f>AJ135</f>
        <v>5747990.0117021482</v>
      </c>
      <c r="AK136" s="59">
        <v>2</v>
      </c>
      <c r="AN136"/>
      <c r="AO136"/>
      <c r="AP136"/>
      <c r="AQ136"/>
      <c r="AR136"/>
      <c r="AS136"/>
      <c r="AT136"/>
      <c r="AU136"/>
      <c r="AV136"/>
      <c r="AW136"/>
      <c r="AX136"/>
      <c r="AY136" s="11"/>
      <c r="AZ136" s="11"/>
      <c r="BA136" s="36">
        <f t="shared" si="105"/>
        <v>99</v>
      </c>
      <c r="BB136" s="35">
        <f t="shared" si="104"/>
        <v>58498.891012984895</v>
      </c>
      <c r="BC136" s="120"/>
      <c r="BD136" s="307">
        <f t="shared" si="106"/>
        <v>99</v>
      </c>
      <c r="BE136" s="303">
        <f t="shared" si="103"/>
        <v>41268.013621794002</v>
      </c>
      <c r="BF136" s="208"/>
      <c r="BG136" s="37">
        <f t="shared" si="101"/>
        <v>99</v>
      </c>
      <c r="BH136" s="8">
        <f t="shared" si="108"/>
        <v>466.73678895021442</v>
      </c>
      <c r="BI136" s="11"/>
      <c r="BJ136" s="37">
        <f t="shared" si="102"/>
        <v>99</v>
      </c>
      <c r="BK136" s="8">
        <f t="shared" si="109"/>
        <v>0</v>
      </c>
      <c r="BL136" s="8"/>
      <c r="BM136" s="3"/>
      <c r="BN136" s="11"/>
      <c r="BO136" s="3"/>
      <c r="BP136" s="3"/>
      <c r="BQ136" s="3"/>
      <c r="BR136" s="3"/>
    </row>
    <row r="137" spans="2:70" ht="13.8" x14ac:dyDescent="0.25"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G137" s="13"/>
      <c r="AH137" s="14"/>
      <c r="AI137" s="44">
        <f t="shared" si="100"/>
        <v>100</v>
      </c>
      <c r="AJ137" s="55">
        <f t="shared" ref="AJ137:AJ158" si="110">AJ136</f>
        <v>5747990.0117021482</v>
      </c>
      <c r="AK137" s="59">
        <v>3</v>
      </c>
      <c r="AN137"/>
      <c r="AO137"/>
      <c r="AP137"/>
      <c r="AQ137"/>
      <c r="AR137"/>
      <c r="AS137"/>
      <c r="AT137"/>
      <c r="AU137"/>
      <c r="AV137"/>
      <c r="AW137"/>
      <c r="AX137"/>
      <c r="AY137" s="11"/>
      <c r="AZ137" s="11"/>
      <c r="BA137" s="36">
        <f t="shared" si="105"/>
        <v>100</v>
      </c>
      <c r="BB137" s="35">
        <f t="shared" si="104"/>
        <v>58498.891012984895</v>
      </c>
      <c r="BC137" s="120"/>
      <c r="BD137" s="307">
        <f t="shared" si="106"/>
        <v>100</v>
      </c>
      <c r="BE137" s="303">
        <f t="shared" si="103"/>
        <v>41268.013621794002</v>
      </c>
      <c r="BF137" s="208"/>
      <c r="BG137" s="37">
        <f t="shared" si="101"/>
        <v>100</v>
      </c>
      <c r="BH137" s="8">
        <f t="shared" si="108"/>
        <v>466.73678895021442</v>
      </c>
      <c r="BI137" s="11"/>
      <c r="BJ137" s="37">
        <f t="shared" si="102"/>
        <v>100</v>
      </c>
      <c r="BK137" s="8">
        <f t="shared" si="109"/>
        <v>0</v>
      </c>
      <c r="BL137" s="8"/>
      <c r="BM137" s="3"/>
      <c r="BN137" s="11"/>
      <c r="BO137" s="3"/>
      <c r="BP137" s="3"/>
      <c r="BQ137" s="3"/>
      <c r="BR137" s="3"/>
    </row>
    <row r="138" spans="2:70" ht="13.8" x14ac:dyDescent="0.25"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G138" s="13"/>
      <c r="AH138" s="14"/>
      <c r="AI138" s="44">
        <f t="shared" si="100"/>
        <v>101</v>
      </c>
      <c r="AJ138" s="55">
        <f t="shared" si="110"/>
        <v>5747990.0117021482</v>
      </c>
      <c r="AK138" s="59">
        <v>4</v>
      </c>
      <c r="AN138"/>
      <c r="AO138"/>
      <c r="AP138"/>
      <c r="AQ138"/>
      <c r="AR138"/>
      <c r="AS138"/>
      <c r="AT138"/>
      <c r="AU138"/>
      <c r="AV138"/>
      <c r="AW138"/>
      <c r="AX138"/>
      <c r="AY138" s="11"/>
      <c r="AZ138" s="11"/>
      <c r="BA138" s="36">
        <f t="shared" si="105"/>
        <v>101</v>
      </c>
      <c r="BB138" s="35">
        <f t="shared" si="104"/>
        <v>58498.891012984895</v>
      </c>
      <c r="BC138" s="120"/>
      <c r="BD138" s="307">
        <f t="shared" si="106"/>
        <v>101</v>
      </c>
      <c r="BE138" s="303">
        <f t="shared" si="103"/>
        <v>41268.013621794002</v>
      </c>
      <c r="BF138" s="208"/>
      <c r="BG138" s="37">
        <f t="shared" si="101"/>
        <v>101</v>
      </c>
      <c r="BH138" s="8">
        <f t="shared" si="108"/>
        <v>466.73678895021442</v>
      </c>
      <c r="BI138" s="11"/>
      <c r="BJ138" s="37">
        <f t="shared" si="102"/>
        <v>101</v>
      </c>
      <c r="BK138" s="8">
        <f t="shared" si="109"/>
        <v>0</v>
      </c>
      <c r="BL138" s="8"/>
      <c r="BM138" s="3"/>
      <c r="BN138" s="11"/>
      <c r="BO138" s="3"/>
      <c r="BP138" s="3"/>
      <c r="BQ138" s="3"/>
      <c r="BR138" s="3"/>
    </row>
    <row r="139" spans="2:70" ht="13.8" x14ac:dyDescent="0.25"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G139" s="13"/>
      <c r="AH139" s="14"/>
      <c r="AI139" s="44">
        <f t="shared" si="100"/>
        <v>102</v>
      </c>
      <c r="AJ139" s="55">
        <f t="shared" si="110"/>
        <v>5747990.0117021482</v>
      </c>
      <c r="AK139" s="59">
        <v>5</v>
      </c>
      <c r="AN139"/>
      <c r="AO139"/>
      <c r="AP139"/>
      <c r="AQ139"/>
      <c r="AR139"/>
      <c r="AS139"/>
      <c r="AT139"/>
      <c r="AU139"/>
      <c r="AV139"/>
      <c r="AW139"/>
      <c r="AX139"/>
      <c r="AY139" s="11"/>
      <c r="AZ139" s="11"/>
      <c r="BA139" s="36">
        <f t="shared" si="105"/>
        <v>102</v>
      </c>
      <c r="BB139" s="35">
        <f t="shared" si="104"/>
        <v>58498.891012984895</v>
      </c>
      <c r="BC139" s="120"/>
      <c r="BD139" s="307">
        <f t="shared" si="106"/>
        <v>102</v>
      </c>
      <c r="BE139" s="303">
        <f t="shared" ref="BE139:BE158" si="111">AJ139/$B$10+AJ139*($G$15*(100%-$BE$29)*1.16)</f>
        <v>41268.013621794002</v>
      </c>
      <c r="BF139" s="208"/>
      <c r="BG139" s="37">
        <f t="shared" si="101"/>
        <v>102</v>
      </c>
      <c r="BH139" s="8">
        <f t="shared" si="108"/>
        <v>466.73678895021442</v>
      </c>
      <c r="BI139" s="11"/>
      <c r="BJ139" s="37">
        <f t="shared" si="102"/>
        <v>102</v>
      </c>
      <c r="BK139" s="8">
        <f t="shared" si="109"/>
        <v>0</v>
      </c>
      <c r="BL139" s="8"/>
      <c r="BM139" s="3"/>
      <c r="BN139" s="11"/>
      <c r="BO139" s="3"/>
      <c r="BP139" s="3"/>
      <c r="BQ139" s="3"/>
      <c r="BR139" s="3"/>
    </row>
    <row r="140" spans="2:70" ht="13.8" x14ac:dyDescent="0.25"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G140" s="13"/>
      <c r="AH140" s="14"/>
      <c r="AI140" s="44">
        <f t="shared" si="100"/>
        <v>103</v>
      </c>
      <c r="AJ140" s="55">
        <f t="shared" si="110"/>
        <v>5747990.0117021482</v>
      </c>
      <c r="AK140" s="59">
        <v>6</v>
      </c>
      <c r="AN140"/>
      <c r="AO140"/>
      <c r="AP140"/>
      <c r="AQ140"/>
      <c r="AR140"/>
      <c r="AS140"/>
      <c r="AT140"/>
      <c r="AU140"/>
      <c r="AV140"/>
      <c r="AW140"/>
      <c r="AX140"/>
      <c r="AY140" s="11"/>
      <c r="AZ140" s="11"/>
      <c r="BA140" s="36">
        <f t="shared" si="105"/>
        <v>103</v>
      </c>
      <c r="BB140" s="35">
        <f t="shared" si="104"/>
        <v>58498.891012984895</v>
      </c>
      <c r="BC140" s="120"/>
      <c r="BD140" s="307">
        <f t="shared" si="106"/>
        <v>103</v>
      </c>
      <c r="BE140" s="303">
        <f t="shared" si="111"/>
        <v>41268.013621794002</v>
      </c>
      <c r="BF140" s="208"/>
      <c r="BG140" s="37">
        <f t="shared" si="101"/>
        <v>103</v>
      </c>
      <c r="BH140" s="8">
        <f t="shared" si="108"/>
        <v>466.73678895021442</v>
      </c>
      <c r="BI140" s="11"/>
      <c r="BJ140" s="37">
        <f t="shared" si="102"/>
        <v>103</v>
      </c>
      <c r="BK140" s="8">
        <f t="shared" si="109"/>
        <v>0</v>
      </c>
      <c r="BL140" s="8"/>
      <c r="BM140" s="3"/>
      <c r="BN140" s="11"/>
      <c r="BO140" s="3"/>
      <c r="BP140" s="3"/>
      <c r="BQ140" s="3"/>
      <c r="BR140" s="3"/>
    </row>
    <row r="141" spans="2:70" ht="13.8" x14ac:dyDescent="0.25"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G141" s="13"/>
      <c r="AH141" s="14"/>
      <c r="AI141" s="44">
        <f t="shared" si="100"/>
        <v>104</v>
      </c>
      <c r="AJ141" s="55">
        <f t="shared" si="110"/>
        <v>5747990.0117021482</v>
      </c>
      <c r="AK141" s="59">
        <v>7</v>
      </c>
      <c r="AN141"/>
      <c r="AO141"/>
      <c r="AP141"/>
      <c r="AQ141"/>
      <c r="AR141"/>
      <c r="AS141"/>
      <c r="AT141"/>
      <c r="AU141"/>
      <c r="AV141"/>
      <c r="AW141"/>
      <c r="AX141"/>
      <c r="AY141" s="11"/>
      <c r="AZ141" s="11"/>
      <c r="BA141" s="36">
        <f t="shared" si="105"/>
        <v>104</v>
      </c>
      <c r="BB141" s="35">
        <f t="shared" si="104"/>
        <v>58498.891012984895</v>
      </c>
      <c r="BC141" s="120"/>
      <c r="BD141" s="307">
        <f t="shared" si="106"/>
        <v>104</v>
      </c>
      <c r="BE141" s="303">
        <f t="shared" si="111"/>
        <v>41268.013621794002</v>
      </c>
      <c r="BF141" s="208"/>
      <c r="BG141" s="37">
        <f t="shared" si="101"/>
        <v>104</v>
      </c>
      <c r="BH141" s="8">
        <f t="shared" si="108"/>
        <v>466.73678895021442</v>
      </c>
      <c r="BI141" s="11"/>
      <c r="BJ141" s="37">
        <f t="shared" si="102"/>
        <v>104</v>
      </c>
      <c r="BK141" s="8">
        <f t="shared" si="109"/>
        <v>0</v>
      </c>
      <c r="BL141" s="8"/>
      <c r="BM141" s="3"/>
      <c r="BN141" s="11"/>
      <c r="BO141" s="3"/>
      <c r="BP141" s="3"/>
      <c r="BQ141" s="3"/>
      <c r="BR141" s="3"/>
    </row>
    <row r="142" spans="2:70" ht="13.8" x14ac:dyDescent="0.25"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G142" s="13"/>
      <c r="AH142" s="14"/>
      <c r="AI142" s="44">
        <f t="shared" si="100"/>
        <v>105</v>
      </c>
      <c r="AJ142" s="55">
        <f t="shared" si="110"/>
        <v>5747990.0117021482</v>
      </c>
      <c r="AK142" s="59">
        <v>8</v>
      </c>
      <c r="AN142"/>
      <c r="AO142"/>
      <c r="AP142"/>
      <c r="AQ142"/>
      <c r="AR142"/>
      <c r="AS142"/>
      <c r="AT142"/>
      <c r="AU142"/>
      <c r="AV142"/>
      <c r="AW142"/>
      <c r="AX142"/>
      <c r="AY142" s="11"/>
      <c r="AZ142" s="11"/>
      <c r="BA142" s="36">
        <f t="shared" si="105"/>
        <v>105</v>
      </c>
      <c r="BB142" s="35">
        <f t="shared" si="104"/>
        <v>58498.891012984895</v>
      </c>
      <c r="BC142" s="120"/>
      <c r="BD142" s="307">
        <f t="shared" si="106"/>
        <v>105</v>
      </c>
      <c r="BE142" s="303">
        <f t="shared" si="111"/>
        <v>41268.013621794002</v>
      </c>
      <c r="BF142" s="208"/>
      <c r="BG142" s="37">
        <f t="shared" si="101"/>
        <v>105</v>
      </c>
      <c r="BH142" s="8">
        <f t="shared" si="108"/>
        <v>466.73678895021442</v>
      </c>
      <c r="BI142" s="8"/>
      <c r="BJ142" s="37">
        <f t="shared" si="102"/>
        <v>105</v>
      </c>
      <c r="BK142" s="8">
        <f t="shared" si="109"/>
        <v>0</v>
      </c>
      <c r="BL142" s="8"/>
      <c r="BN142" s="8"/>
    </row>
    <row r="143" spans="2:70" ht="13.8" x14ac:dyDescent="0.25"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G143" s="13"/>
      <c r="AH143" s="14"/>
      <c r="AI143" s="44">
        <f t="shared" si="100"/>
        <v>106</v>
      </c>
      <c r="AJ143" s="55">
        <f t="shared" si="110"/>
        <v>5747990.0117021482</v>
      </c>
      <c r="AK143" s="59">
        <v>9</v>
      </c>
      <c r="AN143"/>
      <c r="AO143"/>
      <c r="AP143"/>
      <c r="AQ143"/>
      <c r="AR143"/>
      <c r="AS143"/>
      <c r="AT143"/>
      <c r="AU143"/>
      <c r="AV143"/>
      <c r="AW143"/>
      <c r="AX143"/>
      <c r="AY143" s="11"/>
      <c r="AZ143" s="11"/>
      <c r="BA143" s="36">
        <f t="shared" si="105"/>
        <v>106</v>
      </c>
      <c r="BB143" s="35">
        <f t="shared" si="104"/>
        <v>58498.891012984895</v>
      </c>
      <c r="BC143" s="120"/>
      <c r="BD143" s="307">
        <f t="shared" si="106"/>
        <v>106</v>
      </c>
      <c r="BE143" s="303">
        <f t="shared" si="111"/>
        <v>41268.013621794002</v>
      </c>
      <c r="BF143" s="208"/>
      <c r="BG143" s="37">
        <f t="shared" si="101"/>
        <v>106</v>
      </c>
      <c r="BH143" s="8">
        <f t="shared" si="108"/>
        <v>466.73678895021442</v>
      </c>
      <c r="BI143" s="8"/>
      <c r="BJ143" s="37">
        <f t="shared" si="102"/>
        <v>106</v>
      </c>
      <c r="BK143" s="8">
        <f t="shared" si="109"/>
        <v>0</v>
      </c>
      <c r="BL143" s="8"/>
      <c r="BN143" s="8"/>
    </row>
    <row r="144" spans="2:70" ht="13.8" x14ac:dyDescent="0.25"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G144" s="13"/>
      <c r="AH144" s="14"/>
      <c r="AI144" s="44">
        <f t="shared" si="100"/>
        <v>107</v>
      </c>
      <c r="AJ144" s="55">
        <f t="shared" si="110"/>
        <v>5747990.0117021482</v>
      </c>
      <c r="AK144" s="59">
        <v>10</v>
      </c>
      <c r="AN144"/>
      <c r="AO144"/>
      <c r="AP144"/>
      <c r="AQ144"/>
      <c r="AR144"/>
      <c r="AS144"/>
      <c r="AT144"/>
      <c r="AU144"/>
      <c r="AV144"/>
      <c r="AW144"/>
      <c r="AX144"/>
      <c r="AY144" s="11"/>
      <c r="AZ144" s="11"/>
      <c r="BA144" s="36">
        <f t="shared" si="105"/>
        <v>107</v>
      </c>
      <c r="BB144" s="35">
        <f t="shared" si="104"/>
        <v>58498.891012984895</v>
      </c>
      <c r="BC144" s="120"/>
      <c r="BD144" s="307">
        <f t="shared" si="106"/>
        <v>107</v>
      </c>
      <c r="BE144" s="303">
        <f t="shared" si="111"/>
        <v>41268.013621794002</v>
      </c>
      <c r="BF144" s="208"/>
      <c r="BG144" s="37">
        <f t="shared" si="101"/>
        <v>107</v>
      </c>
      <c r="BH144" s="8">
        <f t="shared" si="108"/>
        <v>466.73678895021442</v>
      </c>
      <c r="BI144" s="8"/>
      <c r="BJ144" s="37">
        <f t="shared" si="102"/>
        <v>107</v>
      </c>
      <c r="BK144" s="8">
        <f t="shared" si="109"/>
        <v>0</v>
      </c>
      <c r="BL144" s="8"/>
      <c r="BM144" s="8"/>
      <c r="BN144" s="8"/>
    </row>
    <row r="145" spans="2:66" ht="13.8" x14ac:dyDescent="0.25"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G145" s="13"/>
      <c r="AH145" s="14"/>
      <c r="AI145" s="44">
        <f t="shared" si="100"/>
        <v>108</v>
      </c>
      <c r="AJ145" s="55">
        <f t="shared" si="110"/>
        <v>5747990.0117021482</v>
      </c>
      <c r="AK145" s="59">
        <v>11</v>
      </c>
      <c r="AN145"/>
      <c r="AO145"/>
      <c r="AP145"/>
      <c r="AQ145"/>
      <c r="AR145"/>
      <c r="AS145"/>
      <c r="AT145"/>
      <c r="AU145"/>
      <c r="AV145"/>
      <c r="AW145"/>
      <c r="AX145"/>
      <c r="AY145" s="11"/>
      <c r="AZ145" s="11"/>
      <c r="BA145" s="36">
        <f t="shared" si="105"/>
        <v>108</v>
      </c>
      <c r="BB145" s="35">
        <f t="shared" si="104"/>
        <v>58498.891012984895</v>
      </c>
      <c r="BC145" s="120"/>
      <c r="BD145" s="307">
        <f t="shared" si="106"/>
        <v>108</v>
      </c>
      <c r="BE145" s="303">
        <f t="shared" si="111"/>
        <v>41268.013621794002</v>
      </c>
      <c r="BF145" s="208"/>
      <c r="BG145" s="37">
        <f t="shared" si="101"/>
        <v>108</v>
      </c>
      <c r="BH145" s="8">
        <f t="shared" si="108"/>
        <v>466.73678895021442</v>
      </c>
      <c r="BI145" s="8"/>
      <c r="BJ145" s="37">
        <f t="shared" si="102"/>
        <v>108</v>
      </c>
      <c r="BK145" s="8">
        <f t="shared" si="109"/>
        <v>0</v>
      </c>
      <c r="BL145" s="8"/>
      <c r="BM145" s="8"/>
      <c r="BN145" s="8"/>
    </row>
    <row r="146" spans="2:66" ht="13.8" x14ac:dyDescent="0.25"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G146" s="13"/>
      <c r="AH146" s="14"/>
      <c r="AI146" s="44">
        <f t="shared" si="100"/>
        <v>109</v>
      </c>
      <c r="AJ146" s="55">
        <f t="shared" si="110"/>
        <v>5747990.0117021482</v>
      </c>
      <c r="AK146" s="59">
        <v>12</v>
      </c>
      <c r="AN146"/>
      <c r="AO146"/>
      <c r="AP146"/>
      <c r="AQ146"/>
      <c r="AR146"/>
      <c r="AS146"/>
      <c r="AT146"/>
      <c r="AU146"/>
      <c r="AV146"/>
      <c r="AW146"/>
      <c r="AX146"/>
      <c r="AY146" s="11"/>
      <c r="AZ146" s="11"/>
      <c r="BA146" s="36">
        <f t="shared" si="105"/>
        <v>109</v>
      </c>
      <c r="BB146" s="35">
        <f t="shared" si="104"/>
        <v>58498.891012984895</v>
      </c>
      <c r="BC146" s="120"/>
      <c r="BD146" s="307">
        <f t="shared" si="106"/>
        <v>109</v>
      </c>
      <c r="BE146" s="303">
        <f t="shared" si="111"/>
        <v>41268.013621794002</v>
      </c>
      <c r="BF146" s="208"/>
      <c r="BG146" s="37">
        <f t="shared" si="101"/>
        <v>109</v>
      </c>
      <c r="BH146" s="8">
        <f t="shared" si="108"/>
        <v>466.73678895021442</v>
      </c>
      <c r="BI146" s="8"/>
      <c r="BJ146" s="37">
        <f t="shared" si="102"/>
        <v>109</v>
      </c>
      <c r="BK146" s="8">
        <f t="shared" si="109"/>
        <v>0</v>
      </c>
      <c r="BL146" s="8"/>
      <c r="BN146" s="8"/>
    </row>
    <row r="147" spans="2:66" ht="13.8" x14ac:dyDescent="0.25"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6"/>
      <c r="AD147" s="136"/>
      <c r="AE147" s="136"/>
      <c r="AF147" s="136"/>
      <c r="AG147" s="13"/>
      <c r="AH147" s="14"/>
      <c r="AI147" s="44">
        <f t="shared" si="100"/>
        <v>110</v>
      </c>
      <c r="AJ147" s="55">
        <f>((AJ146)+(AJ146*$E$29))</f>
        <v>5977909.6121702343</v>
      </c>
      <c r="AK147" s="59">
        <v>1</v>
      </c>
      <c r="AN147"/>
      <c r="AO147"/>
      <c r="AP147"/>
      <c r="AQ147"/>
      <c r="AR147"/>
      <c r="AS147"/>
      <c r="AT147"/>
      <c r="AU147"/>
      <c r="AV147"/>
      <c r="AW147"/>
      <c r="AX147"/>
      <c r="AY147" s="11"/>
      <c r="AZ147" s="11"/>
      <c r="BA147" s="36">
        <f t="shared" si="105"/>
        <v>110</v>
      </c>
      <c r="BB147" s="35">
        <f t="shared" ref="BB147:BB158" si="112">SUM(VLOOKUP(BA147,$AI$39:$AJ$158,2,0)/$B$10*$K$30,VLOOKUP(BA147,$AI$39:$AJ$158,2,0)*($G$15*(100%-$BB$31+$BB$29))*1.16,VLOOKUP(BA147,$AI$39:$AJ$158,2,0)*$I$15,VLOOKUP(BA147,$AI$39:$AJ$158,2,0)*$J$15)</f>
        <v>60838.846653504297</v>
      </c>
      <c r="BC147" s="120"/>
      <c r="BD147" s="307">
        <f t="shared" si="106"/>
        <v>110</v>
      </c>
      <c r="BE147" s="303">
        <f t="shared" si="111"/>
        <v>42918.734166665759</v>
      </c>
      <c r="BF147" s="208"/>
      <c r="BG147" s="37">
        <f t="shared" si="101"/>
        <v>110</v>
      </c>
      <c r="BH147" s="8">
        <f t="shared" si="108"/>
        <v>485.40626050822294</v>
      </c>
      <c r="BI147" s="8"/>
      <c r="BJ147" s="37">
        <f t="shared" si="102"/>
        <v>110</v>
      </c>
      <c r="BK147" s="8">
        <f t="shared" si="109"/>
        <v>0</v>
      </c>
      <c r="BL147" s="8"/>
      <c r="BN147" s="8"/>
    </row>
    <row r="148" spans="2:66" ht="13.8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G148" s="13"/>
      <c r="AH148" s="14"/>
      <c r="AI148" s="44">
        <f t="shared" si="100"/>
        <v>111</v>
      </c>
      <c r="AJ148" s="55">
        <f>AJ147</f>
        <v>5977909.6121702343</v>
      </c>
      <c r="AK148" s="59">
        <v>2</v>
      </c>
      <c r="AN148"/>
      <c r="AO148"/>
      <c r="AP148"/>
      <c r="AQ148"/>
      <c r="AR148"/>
      <c r="AS148"/>
      <c r="AT148"/>
      <c r="AU148"/>
      <c r="AV148"/>
      <c r="AW148"/>
      <c r="AX148"/>
      <c r="AY148" s="11"/>
      <c r="AZ148" s="11"/>
      <c r="BA148" s="36">
        <f t="shared" si="105"/>
        <v>111</v>
      </c>
      <c r="BB148" s="35">
        <f t="shared" si="112"/>
        <v>60838.846653504297</v>
      </c>
      <c r="BC148" s="120"/>
      <c r="BD148" s="307">
        <f t="shared" si="106"/>
        <v>111</v>
      </c>
      <c r="BE148" s="303">
        <f t="shared" si="111"/>
        <v>42918.734166665759</v>
      </c>
      <c r="BF148" s="208"/>
      <c r="BG148" s="37">
        <f t="shared" si="101"/>
        <v>111</v>
      </c>
      <c r="BH148" s="8">
        <f t="shared" si="108"/>
        <v>485.40626050822294</v>
      </c>
      <c r="BI148" s="8"/>
      <c r="BJ148" s="37">
        <f t="shared" si="102"/>
        <v>111</v>
      </c>
      <c r="BK148" s="8">
        <f t="shared" si="109"/>
        <v>0</v>
      </c>
      <c r="BL148" s="8"/>
      <c r="BN148" s="8"/>
    </row>
    <row r="149" spans="2:66" ht="13.8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G149" s="13"/>
      <c r="AH149" s="14"/>
      <c r="AI149" s="44">
        <f t="shared" si="100"/>
        <v>112</v>
      </c>
      <c r="AJ149" s="55">
        <f t="shared" si="110"/>
        <v>5977909.6121702343</v>
      </c>
      <c r="AK149" s="59">
        <v>3</v>
      </c>
      <c r="AN149"/>
      <c r="AO149"/>
      <c r="AP149"/>
      <c r="AQ149"/>
      <c r="AR149"/>
      <c r="AS149"/>
      <c r="AT149"/>
      <c r="AU149"/>
      <c r="AV149"/>
      <c r="AW149"/>
      <c r="AX149"/>
      <c r="AY149" s="11"/>
      <c r="AZ149" s="11"/>
      <c r="BA149" s="36">
        <f t="shared" si="105"/>
        <v>112</v>
      </c>
      <c r="BB149" s="35">
        <f t="shared" si="112"/>
        <v>60838.846653504297</v>
      </c>
      <c r="BC149" s="120"/>
      <c r="BD149" s="307">
        <f t="shared" si="106"/>
        <v>112</v>
      </c>
      <c r="BE149" s="303">
        <f t="shared" si="111"/>
        <v>42918.734166665759</v>
      </c>
      <c r="BF149" s="208"/>
      <c r="BG149" s="37">
        <f t="shared" si="101"/>
        <v>112</v>
      </c>
      <c r="BH149" s="8">
        <f t="shared" si="108"/>
        <v>485.40626050822294</v>
      </c>
      <c r="BI149" s="8"/>
      <c r="BJ149" s="37">
        <f t="shared" si="102"/>
        <v>112</v>
      </c>
      <c r="BK149" s="8">
        <f t="shared" si="109"/>
        <v>0</v>
      </c>
      <c r="BL149" s="8"/>
      <c r="BN149" s="8"/>
    </row>
    <row r="150" spans="2:66" ht="13.8" x14ac:dyDescent="0.25"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G150" s="13"/>
      <c r="AH150" s="14"/>
      <c r="AI150" s="44">
        <f t="shared" si="100"/>
        <v>113</v>
      </c>
      <c r="AJ150" s="55">
        <f t="shared" si="110"/>
        <v>5977909.6121702343</v>
      </c>
      <c r="AK150" s="59">
        <v>4</v>
      </c>
      <c r="AN150"/>
      <c r="AO150"/>
      <c r="AP150"/>
      <c r="AQ150"/>
      <c r="AR150"/>
      <c r="AS150"/>
      <c r="AT150"/>
      <c r="AU150"/>
      <c r="AV150"/>
      <c r="AW150"/>
      <c r="AX150"/>
      <c r="AY150" s="11"/>
      <c r="AZ150" s="11"/>
      <c r="BA150" s="36">
        <f t="shared" si="105"/>
        <v>113</v>
      </c>
      <c r="BB150" s="35">
        <f t="shared" si="112"/>
        <v>60838.846653504297</v>
      </c>
      <c r="BC150" s="120"/>
      <c r="BD150" s="307">
        <f t="shared" si="106"/>
        <v>113</v>
      </c>
      <c r="BE150" s="303">
        <f t="shared" si="111"/>
        <v>42918.734166665759</v>
      </c>
      <c r="BF150" s="208"/>
      <c r="BG150" s="37">
        <f t="shared" si="101"/>
        <v>113</v>
      </c>
      <c r="BH150" s="8">
        <f t="shared" si="108"/>
        <v>485.40626050822294</v>
      </c>
      <c r="BI150" s="8"/>
      <c r="BJ150" s="37">
        <f t="shared" si="102"/>
        <v>113</v>
      </c>
      <c r="BK150" s="8">
        <f t="shared" si="109"/>
        <v>0</v>
      </c>
      <c r="BL150" s="8"/>
      <c r="BN150" s="8"/>
    </row>
    <row r="151" spans="2:66" ht="13.8" x14ac:dyDescent="0.25"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G151" s="13"/>
      <c r="AH151" s="14"/>
      <c r="AI151" s="44">
        <f t="shared" si="100"/>
        <v>114</v>
      </c>
      <c r="AJ151" s="55">
        <f t="shared" si="110"/>
        <v>5977909.6121702343</v>
      </c>
      <c r="AK151" s="59">
        <v>5</v>
      </c>
      <c r="AN151"/>
      <c r="AO151"/>
      <c r="AP151"/>
      <c r="AQ151"/>
      <c r="AR151"/>
      <c r="AS151"/>
      <c r="AT151"/>
      <c r="AU151"/>
      <c r="AV151"/>
      <c r="AW151"/>
      <c r="AX151"/>
      <c r="AY151" s="11"/>
      <c r="AZ151" s="11"/>
      <c r="BA151" s="36">
        <f t="shared" si="105"/>
        <v>114</v>
      </c>
      <c r="BB151" s="35">
        <f t="shared" si="112"/>
        <v>60838.846653504297</v>
      </c>
      <c r="BC151" s="120"/>
      <c r="BD151" s="307">
        <f t="shared" si="106"/>
        <v>114</v>
      </c>
      <c r="BE151" s="303">
        <f t="shared" si="111"/>
        <v>42918.734166665759</v>
      </c>
      <c r="BF151" s="208"/>
      <c r="BG151" s="37">
        <f t="shared" si="101"/>
        <v>114</v>
      </c>
      <c r="BH151" s="8">
        <f t="shared" si="108"/>
        <v>485.40626050822294</v>
      </c>
      <c r="BI151" s="8"/>
      <c r="BJ151" s="37">
        <f t="shared" si="102"/>
        <v>114</v>
      </c>
      <c r="BK151" s="8">
        <f t="shared" si="109"/>
        <v>0</v>
      </c>
      <c r="BL151" s="8"/>
      <c r="BN151" s="8"/>
    </row>
    <row r="152" spans="2:66" ht="13.8" x14ac:dyDescent="0.25"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G152" s="13"/>
      <c r="AH152" s="14"/>
      <c r="AI152" s="44">
        <f t="shared" si="100"/>
        <v>115</v>
      </c>
      <c r="AJ152" s="55">
        <f t="shared" si="110"/>
        <v>5977909.6121702343</v>
      </c>
      <c r="AK152" s="59">
        <v>6</v>
      </c>
      <c r="AN152"/>
      <c r="AO152"/>
      <c r="AP152"/>
      <c r="AQ152"/>
      <c r="AR152"/>
      <c r="AS152"/>
      <c r="AT152"/>
      <c r="AU152"/>
      <c r="AV152"/>
      <c r="AW152"/>
      <c r="AX152"/>
      <c r="AY152" s="11"/>
      <c r="AZ152" s="11"/>
      <c r="BA152" s="36">
        <f t="shared" si="105"/>
        <v>115</v>
      </c>
      <c r="BB152" s="35">
        <f t="shared" si="112"/>
        <v>60838.846653504297</v>
      </c>
      <c r="BC152" s="120"/>
      <c r="BD152" s="307">
        <f t="shared" si="106"/>
        <v>115</v>
      </c>
      <c r="BE152" s="303">
        <f t="shared" si="111"/>
        <v>42918.734166665759</v>
      </c>
      <c r="BF152" s="208"/>
      <c r="BG152" s="37">
        <f t="shared" si="101"/>
        <v>115</v>
      </c>
      <c r="BH152" s="8">
        <f t="shared" si="108"/>
        <v>485.40626050822294</v>
      </c>
      <c r="BI152" s="8"/>
      <c r="BJ152" s="37">
        <f t="shared" si="102"/>
        <v>115</v>
      </c>
      <c r="BK152" s="8">
        <f t="shared" si="109"/>
        <v>0</v>
      </c>
      <c r="BL152" s="8"/>
      <c r="BN152" s="8"/>
    </row>
    <row r="153" spans="2:66" ht="13.8" x14ac:dyDescent="0.25"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G153" s="13"/>
      <c r="AH153" s="14"/>
      <c r="AI153" s="44">
        <f t="shared" si="100"/>
        <v>116</v>
      </c>
      <c r="AJ153" s="55">
        <f t="shared" si="110"/>
        <v>5977909.6121702343</v>
      </c>
      <c r="AK153" s="59">
        <v>7</v>
      </c>
      <c r="AN153"/>
      <c r="AO153"/>
      <c r="AP153"/>
      <c r="AQ153"/>
      <c r="AR153"/>
      <c r="AS153"/>
      <c r="AT153"/>
      <c r="AU153"/>
      <c r="AV153"/>
      <c r="AW153"/>
      <c r="AX153"/>
      <c r="AY153" s="11"/>
      <c r="AZ153" s="11"/>
      <c r="BA153" s="36">
        <f t="shared" si="105"/>
        <v>116</v>
      </c>
      <c r="BB153" s="35">
        <f t="shared" si="112"/>
        <v>60838.846653504297</v>
      </c>
      <c r="BC153" s="120"/>
      <c r="BD153" s="307">
        <f t="shared" si="106"/>
        <v>116</v>
      </c>
      <c r="BE153" s="303">
        <f t="shared" si="111"/>
        <v>42918.734166665759</v>
      </c>
      <c r="BF153" s="208"/>
      <c r="BG153" s="37">
        <f t="shared" si="101"/>
        <v>116</v>
      </c>
      <c r="BH153" s="8">
        <f t="shared" si="108"/>
        <v>485.40626050822294</v>
      </c>
      <c r="BI153" s="8"/>
      <c r="BJ153" s="37">
        <f t="shared" si="102"/>
        <v>116</v>
      </c>
      <c r="BK153" s="8">
        <f t="shared" si="109"/>
        <v>0</v>
      </c>
      <c r="BL153" s="8"/>
      <c r="BN153" s="8"/>
    </row>
    <row r="154" spans="2:66" ht="13.8" x14ac:dyDescent="0.25"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G154" s="13"/>
      <c r="AH154" s="14"/>
      <c r="AI154" s="44">
        <f t="shared" si="100"/>
        <v>117</v>
      </c>
      <c r="AJ154" s="55">
        <f t="shared" si="110"/>
        <v>5977909.6121702343</v>
      </c>
      <c r="AK154" s="59">
        <v>8</v>
      </c>
      <c r="AN154"/>
      <c r="AO154"/>
      <c r="AP154"/>
      <c r="AQ154"/>
      <c r="AR154"/>
      <c r="AS154"/>
      <c r="AT154"/>
      <c r="AU154"/>
      <c r="AV154"/>
      <c r="AW154"/>
      <c r="AX154"/>
      <c r="AY154" s="11"/>
      <c r="AZ154" s="11"/>
      <c r="BA154" s="36">
        <f t="shared" si="105"/>
        <v>117</v>
      </c>
      <c r="BB154" s="35">
        <f t="shared" si="112"/>
        <v>60838.846653504297</v>
      </c>
      <c r="BC154" s="120"/>
      <c r="BD154" s="307">
        <f t="shared" si="106"/>
        <v>117</v>
      </c>
      <c r="BE154" s="303">
        <f t="shared" si="111"/>
        <v>42918.734166665759</v>
      </c>
      <c r="BF154" s="208"/>
      <c r="BG154" s="37">
        <f t="shared" si="101"/>
        <v>117</v>
      </c>
      <c r="BH154" s="8">
        <f t="shared" si="108"/>
        <v>485.40626050822294</v>
      </c>
      <c r="BI154" s="8"/>
      <c r="BJ154" s="37">
        <f t="shared" si="102"/>
        <v>117</v>
      </c>
      <c r="BK154" s="8">
        <f t="shared" si="109"/>
        <v>0</v>
      </c>
      <c r="BL154" s="8"/>
      <c r="BN154" s="8"/>
    </row>
    <row r="155" spans="2:66" ht="13.8" x14ac:dyDescent="0.25"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G155" s="13"/>
      <c r="AH155" s="14"/>
      <c r="AI155" s="44">
        <f t="shared" si="100"/>
        <v>118</v>
      </c>
      <c r="AJ155" s="55">
        <f t="shared" si="110"/>
        <v>5977909.6121702343</v>
      </c>
      <c r="AK155" s="59">
        <v>9</v>
      </c>
      <c r="AN155"/>
      <c r="AO155"/>
      <c r="AP155"/>
      <c r="AQ155"/>
      <c r="AR155"/>
      <c r="AS155"/>
      <c r="AT155"/>
      <c r="AU155"/>
      <c r="AV155"/>
      <c r="AW155"/>
      <c r="AX155"/>
      <c r="AY155" s="11"/>
      <c r="AZ155" s="11"/>
      <c r="BA155" s="36">
        <f t="shared" si="105"/>
        <v>118</v>
      </c>
      <c r="BB155" s="35">
        <f t="shared" si="112"/>
        <v>60838.846653504297</v>
      </c>
      <c r="BC155" s="120"/>
      <c r="BD155" s="307">
        <f t="shared" si="106"/>
        <v>118</v>
      </c>
      <c r="BE155" s="303">
        <f t="shared" si="111"/>
        <v>42918.734166665759</v>
      </c>
      <c r="BF155" s="208"/>
      <c r="BG155" s="37">
        <f t="shared" si="101"/>
        <v>118</v>
      </c>
      <c r="BH155" s="8">
        <f t="shared" si="108"/>
        <v>485.40626050822294</v>
      </c>
      <c r="BI155" s="8"/>
      <c r="BJ155" s="37">
        <f t="shared" si="102"/>
        <v>118</v>
      </c>
      <c r="BK155" s="8">
        <f t="shared" si="109"/>
        <v>0</v>
      </c>
      <c r="BL155" s="8"/>
      <c r="BN155" s="8"/>
    </row>
    <row r="156" spans="2:66" ht="13.8" x14ac:dyDescent="0.25"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G156" s="13"/>
      <c r="AH156" s="14"/>
      <c r="AI156" s="44">
        <f t="shared" si="100"/>
        <v>119</v>
      </c>
      <c r="AJ156" s="55">
        <f t="shared" si="110"/>
        <v>5977909.6121702343</v>
      </c>
      <c r="AK156" s="59">
        <v>10</v>
      </c>
      <c r="AN156"/>
      <c r="AO156"/>
      <c r="AP156"/>
      <c r="AQ156"/>
      <c r="AR156"/>
      <c r="AS156"/>
      <c r="AT156"/>
      <c r="AU156"/>
      <c r="AV156"/>
      <c r="AW156"/>
      <c r="AX156"/>
      <c r="AY156" s="11"/>
      <c r="AZ156" s="11"/>
      <c r="BA156" s="36">
        <f t="shared" si="105"/>
        <v>119</v>
      </c>
      <c r="BB156" s="35">
        <f t="shared" si="112"/>
        <v>60838.846653504297</v>
      </c>
      <c r="BC156" s="120"/>
      <c r="BD156" s="307">
        <f t="shared" si="106"/>
        <v>119</v>
      </c>
      <c r="BE156" s="303">
        <f t="shared" si="111"/>
        <v>42918.734166665759</v>
      </c>
      <c r="BF156" s="208"/>
      <c r="BG156" s="37">
        <f t="shared" si="101"/>
        <v>119</v>
      </c>
      <c r="BH156" s="8">
        <f t="shared" si="108"/>
        <v>485.40626050822294</v>
      </c>
      <c r="BI156" s="8"/>
      <c r="BJ156" s="37">
        <f t="shared" si="102"/>
        <v>119</v>
      </c>
      <c r="BK156" s="8">
        <f t="shared" si="109"/>
        <v>0</v>
      </c>
      <c r="BL156" s="8"/>
      <c r="BN156" s="8"/>
    </row>
    <row r="157" spans="2:66" ht="13.8" x14ac:dyDescent="0.25"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G157" s="13"/>
      <c r="AH157" s="14"/>
      <c r="AI157" s="44">
        <f t="shared" si="100"/>
        <v>120</v>
      </c>
      <c r="AJ157" s="55">
        <f t="shared" si="110"/>
        <v>5977909.6121702343</v>
      </c>
      <c r="AK157" s="59">
        <v>11</v>
      </c>
      <c r="AN157"/>
      <c r="AO157"/>
      <c r="AP157"/>
      <c r="AQ157"/>
      <c r="AR157"/>
      <c r="AS157"/>
      <c r="AT157"/>
      <c r="AU157"/>
      <c r="AV157"/>
      <c r="AW157"/>
      <c r="AX157"/>
      <c r="AY157" s="11"/>
      <c r="AZ157" s="11"/>
      <c r="BA157" s="36">
        <f t="shared" si="105"/>
        <v>120</v>
      </c>
      <c r="BB157" s="35">
        <f t="shared" si="112"/>
        <v>60838.846653504297</v>
      </c>
      <c r="BC157" s="120"/>
      <c r="BD157" s="307">
        <f t="shared" si="106"/>
        <v>120</v>
      </c>
      <c r="BE157" s="303">
        <f t="shared" si="111"/>
        <v>42918.734166665759</v>
      </c>
      <c r="BF157" s="208"/>
      <c r="BG157" s="37">
        <f t="shared" si="101"/>
        <v>120</v>
      </c>
      <c r="BH157" s="8">
        <f t="shared" si="108"/>
        <v>485.40626050822294</v>
      </c>
      <c r="BI157" s="8"/>
      <c r="BJ157" s="37">
        <f t="shared" si="102"/>
        <v>120</v>
      </c>
      <c r="BK157" s="8">
        <f t="shared" si="109"/>
        <v>0</v>
      </c>
      <c r="BL157" s="8"/>
      <c r="BN157" s="8"/>
    </row>
    <row r="158" spans="2:66" ht="13.8" x14ac:dyDescent="0.25"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G158" s="13"/>
      <c r="AH158" s="14"/>
      <c r="AI158" s="44">
        <f t="shared" si="100"/>
        <v>121</v>
      </c>
      <c r="AJ158" s="55">
        <f t="shared" si="110"/>
        <v>5977909.6121702343</v>
      </c>
      <c r="AK158" s="59">
        <v>12</v>
      </c>
      <c r="AN158"/>
      <c r="AO158"/>
      <c r="AP158"/>
      <c r="AQ158"/>
      <c r="AR158"/>
      <c r="AS158"/>
      <c r="AT158"/>
      <c r="AU158"/>
      <c r="AV158"/>
      <c r="AW158"/>
      <c r="AX158"/>
      <c r="AY158" s="11"/>
      <c r="AZ158" s="11"/>
      <c r="BA158" s="36">
        <f t="shared" si="105"/>
        <v>121</v>
      </c>
      <c r="BB158" s="35">
        <f t="shared" si="112"/>
        <v>60838.846653504297</v>
      </c>
      <c r="BC158" s="120"/>
      <c r="BD158" s="307">
        <f t="shared" si="106"/>
        <v>121</v>
      </c>
      <c r="BE158" s="303">
        <f t="shared" si="111"/>
        <v>42918.734166665759</v>
      </c>
      <c r="BF158" s="208"/>
      <c r="BG158" s="37">
        <f t="shared" si="101"/>
        <v>121</v>
      </c>
      <c r="BH158" s="8">
        <f t="shared" si="108"/>
        <v>485.40626050822294</v>
      </c>
      <c r="BI158" s="8"/>
      <c r="BJ158" s="37">
        <f t="shared" si="102"/>
        <v>121</v>
      </c>
      <c r="BK158" s="8">
        <f t="shared" si="109"/>
        <v>0</v>
      </c>
      <c r="BL158" s="8"/>
      <c r="BN158" s="8"/>
    </row>
    <row r="159" spans="2:66" ht="13.8" x14ac:dyDescent="0.25"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G159" s="13"/>
      <c r="AH159" s="14"/>
      <c r="AI159" s="13"/>
      <c r="AJ159" s="14"/>
      <c r="AK159"/>
      <c r="AN159"/>
      <c r="AO159"/>
      <c r="AP159"/>
      <c r="AQ159"/>
      <c r="AR159"/>
      <c r="AS159"/>
      <c r="AT159"/>
      <c r="AU159"/>
      <c r="AV159"/>
      <c r="AW159"/>
      <c r="AX159"/>
      <c r="AY159" s="11"/>
      <c r="AZ159" s="11"/>
      <c r="BA159" s="36"/>
      <c r="BB159" s="35"/>
      <c r="BD159" s="307"/>
      <c r="BE159" s="303"/>
      <c r="BG159" s="13"/>
      <c r="BJ159" s="13"/>
      <c r="BN159" s="8"/>
    </row>
    <row r="160" spans="2:66" ht="13.8" x14ac:dyDescent="0.25"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G160" s="13"/>
      <c r="AH160" s="14"/>
      <c r="AI160" s="13"/>
      <c r="AJ160" s="14"/>
      <c r="AN160"/>
      <c r="AO160"/>
      <c r="AP160"/>
      <c r="AQ160"/>
      <c r="AR160"/>
      <c r="AS160"/>
      <c r="AT160"/>
      <c r="AU160"/>
      <c r="AV160"/>
      <c r="AW160"/>
      <c r="AX160"/>
      <c r="AY160" s="11"/>
      <c r="AZ160" s="11"/>
      <c r="BA160"/>
      <c r="BB160"/>
      <c r="BD160"/>
      <c r="BE160"/>
      <c r="BG160"/>
      <c r="BJ160"/>
      <c r="BN160" s="8"/>
    </row>
    <row r="161" spans="2:62" ht="13.8" hidden="1" x14ac:dyDescent="0.25"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G161" s="13"/>
      <c r="AH161" s="14"/>
      <c r="AI161" s="13"/>
      <c r="AJ161" s="14"/>
      <c r="AN161"/>
      <c r="AO161"/>
      <c r="AP161"/>
      <c r="AQ161"/>
      <c r="AR161"/>
      <c r="AS161"/>
      <c r="AT161"/>
      <c r="AU161"/>
      <c r="AV161"/>
      <c r="AW161"/>
      <c r="AX161"/>
      <c r="AY161" s="11"/>
      <c r="AZ161" s="11"/>
      <c r="BA161"/>
      <c r="BB161"/>
      <c r="BD161"/>
      <c r="BE161"/>
      <c r="BG161"/>
      <c r="BJ161"/>
    </row>
    <row r="162" spans="2:62" ht="13.8" hidden="1" x14ac:dyDescent="0.25"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G162" s="13"/>
      <c r="AH162" s="14"/>
      <c r="AI162" s="13"/>
      <c r="AJ162" s="14"/>
      <c r="AN162"/>
      <c r="AO162"/>
      <c r="AP162"/>
      <c r="AQ162"/>
      <c r="AR162"/>
      <c r="AS162"/>
      <c r="AT162"/>
      <c r="AU162"/>
      <c r="AV162"/>
      <c r="AW162"/>
      <c r="AX162"/>
      <c r="AY162" s="11"/>
      <c r="AZ162" s="11"/>
      <c r="BA162"/>
      <c r="BB162"/>
      <c r="BD162"/>
      <c r="BE162"/>
      <c r="BG162"/>
      <c r="BJ162"/>
    </row>
    <row r="163" spans="2:62" ht="13.8" hidden="1" x14ac:dyDescent="0.25"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G163" s="13"/>
      <c r="AH163" s="14"/>
      <c r="AI163" s="13"/>
      <c r="AJ163" s="14"/>
      <c r="AN163"/>
      <c r="AO163"/>
      <c r="AP163"/>
      <c r="AQ163"/>
      <c r="AR163"/>
      <c r="AS163"/>
      <c r="AT163"/>
      <c r="AU163"/>
      <c r="AV163"/>
      <c r="AW163"/>
      <c r="AX163"/>
      <c r="AY163" s="11"/>
      <c r="AZ163" s="11"/>
      <c r="BA163"/>
      <c r="BB163"/>
      <c r="BD163"/>
      <c r="BE163"/>
      <c r="BG163"/>
      <c r="BJ163"/>
    </row>
    <row r="164" spans="2:62" ht="13.8" hidden="1" x14ac:dyDescent="0.25">
      <c r="AG164" s="13"/>
      <c r="AH164" s="14"/>
      <c r="AI164" s="13"/>
      <c r="AJ164" s="14"/>
      <c r="AN164"/>
      <c r="AO164"/>
      <c r="AP164"/>
      <c r="AQ164"/>
      <c r="AR164"/>
      <c r="AS164"/>
      <c r="AT164"/>
      <c r="AU164"/>
      <c r="AV164"/>
      <c r="AW164"/>
      <c r="AX164"/>
      <c r="AY164" s="11"/>
      <c r="AZ164" s="11"/>
      <c r="BA164"/>
      <c r="BB164"/>
      <c r="BD164"/>
      <c r="BE164"/>
      <c r="BG164"/>
      <c r="BJ164"/>
    </row>
    <row r="165" spans="2:62" ht="13.8" hidden="1" x14ac:dyDescent="0.25">
      <c r="AG165" s="13"/>
      <c r="AH165" s="14"/>
      <c r="AI165" s="13"/>
      <c r="AJ165" s="14"/>
      <c r="AN165"/>
      <c r="AO165"/>
      <c r="AP165"/>
      <c r="AQ165"/>
      <c r="AR165"/>
      <c r="AS165"/>
      <c r="AT165"/>
      <c r="AU165"/>
      <c r="AV165"/>
      <c r="AW165"/>
      <c r="AX165"/>
      <c r="AY165" s="11"/>
      <c r="AZ165" s="11"/>
      <c r="BA165"/>
      <c r="BB165"/>
      <c r="BD165"/>
      <c r="BE165"/>
      <c r="BG165"/>
      <c r="BJ165"/>
    </row>
    <row r="166" spans="2:62" ht="13.8" hidden="1" x14ac:dyDescent="0.25">
      <c r="AG166" s="13"/>
      <c r="AH166" s="14"/>
      <c r="AI166" s="13"/>
      <c r="AJ166" s="14"/>
      <c r="AN166"/>
      <c r="AO166"/>
      <c r="AP166"/>
      <c r="AQ166"/>
      <c r="AR166"/>
      <c r="AS166"/>
      <c r="AT166"/>
      <c r="AU166"/>
      <c r="AV166"/>
      <c r="AW166"/>
      <c r="AX166"/>
      <c r="AY166" s="11"/>
      <c r="AZ166" s="11"/>
      <c r="BA166"/>
      <c r="BB166"/>
      <c r="BD166"/>
      <c r="BE166"/>
      <c r="BG166"/>
      <c r="BJ166"/>
    </row>
    <row r="167" spans="2:62" ht="13.8" hidden="1" x14ac:dyDescent="0.25">
      <c r="AG167" s="13"/>
      <c r="AH167" s="14"/>
      <c r="AI167" s="13"/>
      <c r="AJ167" s="14"/>
      <c r="AN167"/>
      <c r="AO167"/>
      <c r="AP167"/>
      <c r="AQ167"/>
      <c r="AR167"/>
      <c r="AS167"/>
      <c r="AT167"/>
      <c r="AU167"/>
      <c r="AV167"/>
      <c r="AW167"/>
      <c r="AX167"/>
      <c r="AY167" s="11"/>
      <c r="AZ167" s="11"/>
      <c r="BA167"/>
      <c r="BB167"/>
      <c r="BD167"/>
      <c r="BE167"/>
      <c r="BG167"/>
      <c r="BJ167"/>
    </row>
    <row r="168" spans="2:62" ht="13.8" hidden="1" x14ac:dyDescent="0.25">
      <c r="AG168" s="13"/>
      <c r="AH168" s="14"/>
      <c r="AI168" s="13"/>
      <c r="AJ168" s="14"/>
      <c r="AN168"/>
      <c r="AO168"/>
      <c r="AP168"/>
      <c r="AQ168"/>
      <c r="AR168"/>
      <c r="AS168"/>
      <c r="AT168"/>
      <c r="AU168"/>
      <c r="AV168"/>
      <c r="AW168"/>
      <c r="AX168"/>
      <c r="AY168" s="11"/>
      <c r="AZ168" s="11"/>
      <c r="BA168"/>
      <c r="BB168"/>
      <c r="BD168"/>
      <c r="BE168"/>
      <c r="BG168"/>
      <c r="BJ168"/>
    </row>
    <row r="169" spans="2:62" ht="13.8" hidden="1" x14ac:dyDescent="0.25">
      <c r="AG169" s="13"/>
      <c r="AH169" s="14"/>
      <c r="AI169" s="13"/>
      <c r="AJ169" s="14"/>
      <c r="AN169"/>
      <c r="AO169"/>
      <c r="AP169"/>
      <c r="AQ169"/>
      <c r="AR169"/>
      <c r="AS169"/>
      <c r="AT169"/>
      <c r="AU169"/>
      <c r="AV169"/>
      <c r="AW169"/>
      <c r="AX169"/>
      <c r="AY169" s="11"/>
      <c r="AZ169" s="11"/>
      <c r="BA169"/>
      <c r="BB169"/>
      <c r="BD169"/>
      <c r="BE169"/>
      <c r="BG169"/>
      <c r="BJ169"/>
    </row>
    <row r="170" spans="2:62" ht="13.8" hidden="1" x14ac:dyDescent="0.25">
      <c r="AG170" s="13"/>
      <c r="AH170" s="14"/>
      <c r="AI170" s="13"/>
      <c r="AJ170" s="14"/>
      <c r="AN170"/>
      <c r="AO170"/>
      <c r="AP170"/>
      <c r="AQ170"/>
      <c r="AR170"/>
      <c r="AS170"/>
      <c r="AT170"/>
      <c r="AU170"/>
      <c r="AV170"/>
      <c r="AW170"/>
      <c r="AX170"/>
      <c r="AY170" s="11"/>
      <c r="AZ170" s="11"/>
      <c r="BA170"/>
      <c r="BB170"/>
      <c r="BD170"/>
      <c r="BE170"/>
      <c r="BG170"/>
      <c r="BJ170"/>
    </row>
    <row r="171" spans="2:62" ht="13.8" hidden="1" x14ac:dyDescent="0.25">
      <c r="AG171" s="13"/>
      <c r="AH171" s="14"/>
      <c r="AI171" s="13"/>
      <c r="AJ171" s="14"/>
      <c r="AN171"/>
      <c r="AO171"/>
      <c r="AP171"/>
      <c r="AQ171"/>
      <c r="AR171"/>
      <c r="AS171"/>
      <c r="AT171"/>
      <c r="AU171"/>
      <c r="AV171"/>
      <c r="AW171"/>
      <c r="AX171"/>
      <c r="AY171" s="11"/>
      <c r="AZ171" s="11"/>
      <c r="BA171"/>
      <c r="BB171"/>
      <c r="BD171"/>
      <c r="BE171"/>
      <c r="BG171"/>
      <c r="BJ171"/>
    </row>
    <row r="172" spans="2:62" ht="13.8" hidden="1" x14ac:dyDescent="0.25">
      <c r="AG172" s="13"/>
      <c r="AH172" s="14"/>
      <c r="AI172" s="13"/>
      <c r="AJ172" s="14"/>
      <c r="AN172"/>
      <c r="AO172"/>
      <c r="AP172"/>
      <c r="AQ172"/>
      <c r="AR172"/>
      <c r="AS172"/>
      <c r="AT172"/>
      <c r="AU172"/>
      <c r="AV172"/>
      <c r="AW172"/>
      <c r="AX172"/>
      <c r="AY172" s="11"/>
      <c r="AZ172" s="11"/>
      <c r="BA172"/>
      <c r="BB172"/>
      <c r="BD172"/>
      <c r="BE172"/>
      <c r="BG172"/>
      <c r="BJ172"/>
    </row>
    <row r="173" spans="2:62" ht="13.8" hidden="1" x14ac:dyDescent="0.25">
      <c r="AG173" s="13"/>
      <c r="AH173" s="14"/>
      <c r="AI173" s="13"/>
      <c r="AJ173" s="14"/>
      <c r="AN173"/>
      <c r="AO173"/>
      <c r="AP173"/>
      <c r="AQ173"/>
      <c r="AR173"/>
      <c r="AS173"/>
      <c r="AT173"/>
      <c r="AU173"/>
      <c r="AV173"/>
      <c r="AW173"/>
      <c r="AX173"/>
      <c r="AY173" s="11"/>
      <c r="AZ173" s="11"/>
      <c r="BA173"/>
      <c r="BB173"/>
      <c r="BD173"/>
      <c r="BE173"/>
      <c r="BG173"/>
      <c r="BJ173"/>
    </row>
    <row r="174" spans="2:62" ht="13.8" hidden="1" x14ac:dyDescent="0.25">
      <c r="AG174" s="13"/>
      <c r="AH174" s="14"/>
      <c r="AI174" s="13"/>
      <c r="AJ174" s="14"/>
      <c r="AN174"/>
      <c r="AO174"/>
      <c r="AP174"/>
      <c r="AQ174"/>
      <c r="AR174"/>
      <c r="AS174"/>
      <c r="AT174"/>
      <c r="AU174"/>
      <c r="AV174"/>
      <c r="AW174"/>
      <c r="AX174"/>
      <c r="AY174" s="11"/>
      <c r="AZ174" s="11"/>
      <c r="BA174"/>
      <c r="BB174"/>
      <c r="BD174"/>
      <c r="BE174"/>
      <c r="BG174"/>
      <c r="BJ174"/>
    </row>
    <row r="175" spans="2:62" ht="13.8" hidden="1" x14ac:dyDescent="0.25">
      <c r="AG175" s="13"/>
      <c r="AH175" s="14"/>
      <c r="AI175" s="13"/>
      <c r="AJ175" s="14"/>
      <c r="AN175"/>
      <c r="AO175"/>
      <c r="AP175"/>
      <c r="AQ175"/>
      <c r="AR175"/>
      <c r="AS175"/>
      <c r="AT175"/>
      <c r="AU175"/>
      <c r="AV175"/>
      <c r="AW175"/>
      <c r="AX175"/>
      <c r="AY175" s="11"/>
      <c r="AZ175" s="11"/>
      <c r="BA175"/>
      <c r="BB175"/>
      <c r="BD175"/>
      <c r="BE175"/>
      <c r="BG175"/>
      <c r="BJ175"/>
    </row>
    <row r="176" spans="2:62" ht="13.8" hidden="1" x14ac:dyDescent="0.25">
      <c r="AG176" s="13"/>
      <c r="AH176" s="14"/>
      <c r="AI176" s="13"/>
      <c r="AJ176" s="14"/>
      <c r="AN176"/>
      <c r="AO176"/>
      <c r="AP176"/>
      <c r="AQ176"/>
      <c r="AR176"/>
      <c r="AS176"/>
      <c r="AT176"/>
      <c r="AU176"/>
      <c r="AV176"/>
      <c r="AW176"/>
      <c r="AX176"/>
      <c r="AY176" s="11"/>
      <c r="AZ176" s="11"/>
      <c r="BA176"/>
      <c r="BB176"/>
      <c r="BD176"/>
      <c r="BE176"/>
      <c r="BG176"/>
      <c r="BJ176"/>
    </row>
    <row r="177" spans="33:62" ht="13.8" hidden="1" x14ac:dyDescent="0.25">
      <c r="AG177" s="13"/>
      <c r="AH177" s="14"/>
      <c r="AI177" s="13"/>
      <c r="AJ177" s="14"/>
      <c r="AN177"/>
      <c r="AO177"/>
      <c r="AP177"/>
      <c r="AQ177"/>
      <c r="AR177"/>
      <c r="AS177"/>
      <c r="AT177"/>
      <c r="AU177"/>
      <c r="AV177"/>
      <c r="AW177"/>
      <c r="AX177"/>
      <c r="AY177" s="11"/>
      <c r="AZ177" s="11"/>
      <c r="BA177"/>
      <c r="BB177"/>
      <c r="BD177"/>
      <c r="BE177"/>
      <c r="BG177"/>
      <c r="BJ177"/>
    </row>
    <row r="178" spans="33:62" ht="13.8" hidden="1" x14ac:dyDescent="0.25">
      <c r="AG178" s="13"/>
      <c r="AH178" s="14"/>
      <c r="AI178" s="13"/>
      <c r="AJ178" s="14"/>
      <c r="AN178"/>
      <c r="AO178"/>
      <c r="AP178"/>
      <c r="AQ178"/>
      <c r="AR178"/>
      <c r="AS178"/>
      <c r="AT178"/>
      <c r="AU178"/>
      <c r="AV178"/>
      <c r="AW178"/>
      <c r="AX178"/>
      <c r="AY178" s="11"/>
      <c r="AZ178" s="11"/>
      <c r="BA178"/>
      <c r="BB178"/>
      <c r="BD178"/>
      <c r="BE178"/>
      <c r="BG178"/>
      <c r="BJ178"/>
    </row>
    <row r="179" spans="33:62" ht="13.8" hidden="1" x14ac:dyDescent="0.25">
      <c r="AG179" s="13"/>
      <c r="AH179" s="14"/>
      <c r="AI179" s="13"/>
      <c r="AJ179" s="14"/>
      <c r="AN179"/>
      <c r="AO179"/>
      <c r="AP179"/>
      <c r="AQ179"/>
      <c r="AR179"/>
      <c r="AS179"/>
      <c r="AT179"/>
      <c r="AU179"/>
      <c r="AV179"/>
      <c r="AW179"/>
      <c r="AX179"/>
      <c r="AY179" s="11"/>
      <c r="AZ179" s="11"/>
      <c r="BA179"/>
      <c r="BB179"/>
      <c r="BD179"/>
      <c r="BE179"/>
      <c r="BG179"/>
      <c r="BJ179"/>
    </row>
    <row r="180" spans="33:62" ht="13.8" hidden="1" x14ac:dyDescent="0.25">
      <c r="AG180" s="13"/>
      <c r="AH180" s="14"/>
      <c r="AI180" s="13"/>
      <c r="AJ180" s="14"/>
      <c r="AN180"/>
      <c r="AO180"/>
      <c r="AP180"/>
      <c r="AQ180"/>
      <c r="AR180"/>
      <c r="AS180"/>
      <c r="AT180"/>
      <c r="AU180"/>
      <c r="AV180"/>
      <c r="AW180"/>
      <c r="AX180"/>
      <c r="AY180" s="11"/>
      <c r="AZ180" s="11"/>
      <c r="BA180"/>
      <c r="BB180"/>
      <c r="BD180"/>
      <c r="BE180"/>
      <c r="BG180"/>
      <c r="BJ180"/>
    </row>
    <row r="181" spans="33:62" ht="13.8" hidden="1" x14ac:dyDescent="0.25">
      <c r="AG181" s="13"/>
      <c r="AH181" s="14"/>
      <c r="AI181" s="13"/>
      <c r="AJ181" s="14"/>
      <c r="AN181"/>
      <c r="AO181"/>
      <c r="AP181"/>
      <c r="AQ181"/>
      <c r="AR181"/>
      <c r="AS181"/>
      <c r="AT181"/>
      <c r="AU181"/>
      <c r="AV181"/>
      <c r="AW181"/>
      <c r="AX181"/>
      <c r="AY181" s="11"/>
      <c r="AZ181" s="11"/>
      <c r="BA181"/>
      <c r="BB181"/>
      <c r="BD181"/>
      <c r="BE181"/>
      <c r="BG181"/>
      <c r="BJ181"/>
    </row>
    <row r="182" spans="33:62" ht="13.8" hidden="1" x14ac:dyDescent="0.25">
      <c r="AG182" s="13"/>
      <c r="AH182" s="14"/>
      <c r="AI182" s="13"/>
      <c r="AJ182" s="14"/>
      <c r="AN182"/>
      <c r="AO182"/>
      <c r="AP182"/>
      <c r="AQ182"/>
      <c r="AR182"/>
      <c r="AS182"/>
      <c r="AT182"/>
      <c r="AU182"/>
      <c r="AV182"/>
      <c r="AW182"/>
      <c r="AX182"/>
      <c r="AY182" s="11"/>
      <c r="AZ182" s="11"/>
      <c r="BA182"/>
      <c r="BB182"/>
      <c r="BD182"/>
      <c r="BE182"/>
      <c r="BG182"/>
      <c r="BJ182"/>
    </row>
    <row r="183" spans="33:62" ht="13.8" hidden="1" x14ac:dyDescent="0.25">
      <c r="AG183" s="13"/>
      <c r="AH183" s="14"/>
      <c r="AI183" s="13"/>
      <c r="AJ183" s="14"/>
      <c r="AN183"/>
      <c r="AO183"/>
      <c r="AP183"/>
      <c r="AQ183"/>
      <c r="AR183"/>
      <c r="AS183"/>
      <c r="AT183"/>
      <c r="AU183"/>
      <c r="AV183"/>
      <c r="AW183"/>
      <c r="AX183"/>
      <c r="AY183" s="11"/>
      <c r="AZ183" s="11"/>
      <c r="BA183"/>
      <c r="BB183"/>
      <c r="BD183"/>
      <c r="BE183"/>
      <c r="BG183"/>
      <c r="BJ183"/>
    </row>
    <row r="184" spans="33:62" ht="13.8" hidden="1" x14ac:dyDescent="0.25">
      <c r="AG184" s="13"/>
      <c r="AH184" s="14"/>
      <c r="AI184" s="13"/>
      <c r="AJ184" s="14"/>
      <c r="AN184"/>
      <c r="AO184"/>
      <c r="AP184"/>
      <c r="AQ184"/>
      <c r="AR184"/>
      <c r="AS184"/>
      <c r="AT184"/>
      <c r="AU184"/>
      <c r="AV184"/>
      <c r="AW184"/>
      <c r="AX184"/>
      <c r="AY184" s="11"/>
      <c r="AZ184" s="11"/>
      <c r="BA184"/>
      <c r="BB184"/>
      <c r="BD184"/>
      <c r="BE184"/>
      <c r="BG184"/>
      <c r="BJ184"/>
    </row>
    <row r="185" spans="33:62" ht="13.8" hidden="1" x14ac:dyDescent="0.25">
      <c r="AG185" s="13"/>
      <c r="AH185" s="14"/>
      <c r="AI185" s="13"/>
      <c r="AJ185" s="14"/>
      <c r="AN185"/>
      <c r="AO185"/>
      <c r="AP185"/>
      <c r="AQ185"/>
      <c r="AR185"/>
      <c r="AS185"/>
      <c r="AT185"/>
      <c r="AU185"/>
      <c r="AV185"/>
      <c r="AW185"/>
      <c r="AX185"/>
      <c r="AY185" s="11"/>
      <c r="AZ185" s="11"/>
      <c r="BA185"/>
      <c r="BB185"/>
      <c r="BD185"/>
      <c r="BE185"/>
      <c r="BG185"/>
      <c r="BJ185"/>
    </row>
    <row r="186" spans="33:62" ht="13.8" hidden="1" x14ac:dyDescent="0.25">
      <c r="AG186" s="13"/>
      <c r="AH186" s="14"/>
      <c r="AI186" s="13"/>
      <c r="AJ186" s="14"/>
      <c r="AN186"/>
      <c r="AO186"/>
      <c r="AP186"/>
      <c r="AQ186"/>
      <c r="AR186"/>
      <c r="AS186"/>
      <c r="AT186"/>
      <c r="AU186"/>
      <c r="AV186"/>
      <c r="AW186"/>
      <c r="AX186"/>
      <c r="AY186" s="11"/>
      <c r="AZ186" s="11"/>
      <c r="BA186"/>
      <c r="BB186"/>
      <c r="BD186"/>
      <c r="BE186"/>
      <c r="BG186"/>
      <c r="BJ186"/>
    </row>
    <row r="187" spans="33:62" ht="13.8" hidden="1" x14ac:dyDescent="0.25">
      <c r="AG187" s="13"/>
      <c r="AH187" s="14"/>
      <c r="AI187" s="13"/>
      <c r="AJ187" s="14"/>
      <c r="AN187"/>
      <c r="AO187"/>
      <c r="AP187"/>
      <c r="AQ187"/>
      <c r="AR187"/>
      <c r="AS187"/>
      <c r="AT187"/>
      <c r="AU187"/>
      <c r="AV187"/>
      <c r="AW187"/>
      <c r="AX187"/>
      <c r="AY187" s="11"/>
      <c r="AZ187" s="11"/>
      <c r="BA187"/>
      <c r="BB187"/>
      <c r="BD187"/>
      <c r="BE187"/>
      <c r="BG187"/>
      <c r="BJ187"/>
    </row>
    <row r="188" spans="33:62" ht="13.8" hidden="1" x14ac:dyDescent="0.25">
      <c r="AG188" s="13"/>
      <c r="AH188" s="14"/>
      <c r="AI188" s="13"/>
      <c r="AJ188" s="14"/>
      <c r="AN188"/>
      <c r="AO188"/>
      <c r="AP188"/>
      <c r="AQ188"/>
      <c r="AR188"/>
      <c r="AS188"/>
      <c r="AT188"/>
      <c r="AU188"/>
      <c r="AV188"/>
      <c r="AW188"/>
      <c r="AX188"/>
      <c r="AY188" s="11"/>
      <c r="AZ188" s="11"/>
      <c r="BA188"/>
      <c r="BB188"/>
      <c r="BD188"/>
      <c r="BE188"/>
      <c r="BG188"/>
      <c r="BJ188"/>
    </row>
    <row r="189" spans="33:62" ht="13.8" hidden="1" x14ac:dyDescent="0.25">
      <c r="AG189" s="13"/>
      <c r="AH189" s="14"/>
      <c r="AI189" s="13"/>
      <c r="AJ189" s="14"/>
      <c r="AN189"/>
      <c r="AO189"/>
      <c r="AP189"/>
      <c r="AQ189"/>
      <c r="AR189"/>
      <c r="AS189"/>
      <c r="AT189"/>
      <c r="AU189"/>
      <c r="AV189"/>
      <c r="AW189"/>
      <c r="AX189"/>
      <c r="AY189" s="11"/>
      <c r="AZ189" s="11"/>
      <c r="BA189"/>
      <c r="BB189"/>
      <c r="BD189"/>
      <c r="BE189"/>
      <c r="BG189"/>
      <c r="BJ189"/>
    </row>
    <row r="190" spans="33:62" ht="13.8" hidden="1" x14ac:dyDescent="0.25">
      <c r="AG190" s="13"/>
      <c r="AH190" s="14"/>
      <c r="AI190" s="13"/>
      <c r="AJ190" s="14"/>
      <c r="AN190"/>
      <c r="AO190"/>
      <c r="AP190"/>
      <c r="AQ190"/>
      <c r="AR190"/>
      <c r="AS190"/>
      <c r="AT190"/>
      <c r="AU190"/>
      <c r="AV190"/>
      <c r="AW190"/>
      <c r="AX190"/>
      <c r="AY190" s="11"/>
      <c r="AZ190" s="11"/>
      <c r="BA190"/>
      <c r="BB190"/>
      <c r="BD190"/>
      <c r="BE190"/>
      <c r="BG190"/>
      <c r="BJ190"/>
    </row>
    <row r="191" spans="33:62" ht="13.8" hidden="1" x14ac:dyDescent="0.25">
      <c r="AG191" s="13"/>
      <c r="AH191" s="14"/>
      <c r="AI191" s="13"/>
      <c r="AJ191" s="14"/>
      <c r="AN191"/>
      <c r="AO191"/>
      <c r="AP191"/>
      <c r="AQ191"/>
      <c r="AR191"/>
      <c r="AS191"/>
      <c r="AT191"/>
      <c r="AU191"/>
      <c r="AV191"/>
      <c r="AW191"/>
      <c r="AX191"/>
      <c r="AY191" s="11"/>
      <c r="AZ191" s="11"/>
      <c r="BA191"/>
      <c r="BB191"/>
      <c r="BD191"/>
      <c r="BE191"/>
      <c r="BG191"/>
      <c r="BJ191"/>
    </row>
    <row r="192" spans="33:62" ht="13.8" hidden="1" x14ac:dyDescent="0.25">
      <c r="AG192" s="13"/>
      <c r="AH192" s="14"/>
      <c r="AI192" s="13"/>
      <c r="AJ192" s="14"/>
      <c r="AN192"/>
      <c r="AO192"/>
      <c r="AP192"/>
      <c r="AQ192"/>
      <c r="AR192"/>
      <c r="AS192"/>
      <c r="AT192"/>
      <c r="AU192"/>
      <c r="AV192"/>
      <c r="AW192"/>
      <c r="AX192"/>
      <c r="AY192" s="11"/>
      <c r="AZ192" s="11"/>
      <c r="BA192"/>
      <c r="BB192"/>
      <c r="BD192"/>
      <c r="BE192"/>
      <c r="BG192"/>
      <c r="BJ192"/>
    </row>
    <row r="193" spans="33:62" ht="13.8" hidden="1" x14ac:dyDescent="0.25">
      <c r="AG193" s="13"/>
      <c r="AH193" s="14"/>
      <c r="AI193" s="13"/>
      <c r="AJ193" s="14"/>
      <c r="AN193"/>
      <c r="AO193"/>
      <c r="AP193"/>
      <c r="AQ193"/>
      <c r="AR193"/>
      <c r="AS193"/>
      <c r="AT193"/>
      <c r="AU193"/>
      <c r="AV193"/>
      <c r="AW193"/>
      <c r="AX193"/>
      <c r="AY193" s="11"/>
      <c r="AZ193" s="11"/>
      <c r="BA193"/>
      <c r="BB193"/>
      <c r="BD193"/>
      <c r="BE193"/>
      <c r="BG193"/>
      <c r="BJ193"/>
    </row>
    <row r="194" spans="33:62" ht="13.8" hidden="1" x14ac:dyDescent="0.25">
      <c r="AG194" s="13"/>
      <c r="AH194" s="14"/>
      <c r="AI194" s="13"/>
      <c r="AJ194" s="14"/>
      <c r="AN194"/>
      <c r="AO194"/>
      <c r="AP194"/>
      <c r="AQ194"/>
      <c r="AR194"/>
      <c r="AS194"/>
      <c r="AT194"/>
      <c r="AU194"/>
      <c r="AV194"/>
      <c r="AW194"/>
      <c r="AX194"/>
      <c r="AY194" s="11"/>
      <c r="AZ194" s="11"/>
      <c r="BA194"/>
      <c r="BB194"/>
      <c r="BD194"/>
      <c r="BE194"/>
      <c r="BG194"/>
      <c r="BJ194"/>
    </row>
    <row r="195" spans="33:62" ht="13.8" hidden="1" x14ac:dyDescent="0.25">
      <c r="AG195" s="13"/>
      <c r="AH195" s="14"/>
      <c r="AI195" s="13"/>
      <c r="AJ195" s="14"/>
      <c r="AN195"/>
      <c r="AO195"/>
      <c r="AP195"/>
      <c r="AQ195"/>
      <c r="AR195"/>
      <c r="AS195"/>
      <c r="AT195"/>
      <c r="AU195"/>
      <c r="AV195"/>
      <c r="AW195"/>
      <c r="AX195"/>
      <c r="AY195" s="11"/>
      <c r="AZ195" s="11"/>
      <c r="BA195"/>
      <c r="BB195"/>
      <c r="BD195"/>
      <c r="BE195"/>
      <c r="BG195"/>
      <c r="BJ195"/>
    </row>
    <row r="196" spans="33:62" ht="13.8" hidden="1" x14ac:dyDescent="0.25">
      <c r="AG196" s="13"/>
      <c r="AH196" s="14"/>
      <c r="AI196" s="13"/>
      <c r="AJ196" s="14"/>
      <c r="AN196"/>
      <c r="AO196"/>
      <c r="AP196"/>
      <c r="AQ196"/>
      <c r="AR196"/>
      <c r="AS196"/>
      <c r="AT196"/>
      <c r="AU196"/>
      <c r="AV196"/>
      <c r="AW196"/>
      <c r="AX196"/>
      <c r="AY196" s="11"/>
      <c r="AZ196" s="11"/>
      <c r="BA196"/>
      <c r="BB196"/>
      <c r="BD196"/>
      <c r="BE196"/>
      <c r="BG196"/>
      <c r="BJ196"/>
    </row>
    <row r="197" spans="33:62" ht="13.8" hidden="1" x14ac:dyDescent="0.25">
      <c r="AG197" s="13"/>
      <c r="AH197" s="14"/>
      <c r="AI197" s="13"/>
      <c r="AJ197" s="14"/>
      <c r="AN197"/>
      <c r="AO197"/>
      <c r="AP197"/>
      <c r="AQ197"/>
      <c r="AR197"/>
      <c r="AS197"/>
      <c r="AT197"/>
      <c r="AU197"/>
      <c r="AV197"/>
      <c r="AW197"/>
      <c r="AX197"/>
      <c r="AY197" s="11"/>
      <c r="AZ197" s="11"/>
      <c r="BA197"/>
      <c r="BB197"/>
      <c r="BD197"/>
      <c r="BE197"/>
      <c r="BG197"/>
      <c r="BJ197"/>
    </row>
    <row r="198" spans="33:62" ht="13.8" hidden="1" x14ac:dyDescent="0.25">
      <c r="AG198" s="13"/>
      <c r="AH198" s="14"/>
      <c r="AI198" s="13"/>
      <c r="AJ198" s="14"/>
      <c r="AN198"/>
      <c r="AO198"/>
      <c r="AP198"/>
      <c r="AQ198"/>
      <c r="AR198"/>
      <c r="AS198"/>
      <c r="AT198"/>
      <c r="AU198"/>
      <c r="AV198"/>
      <c r="AW198"/>
      <c r="AX198"/>
      <c r="AY198" s="11"/>
      <c r="AZ198" s="11"/>
      <c r="BA198"/>
      <c r="BB198"/>
      <c r="BD198"/>
      <c r="BE198"/>
      <c r="BG198"/>
      <c r="BJ198"/>
    </row>
    <row r="199" spans="33:62" ht="13.8" hidden="1" x14ac:dyDescent="0.25">
      <c r="AG199" s="13"/>
      <c r="AH199" s="14"/>
      <c r="AI199" s="13"/>
      <c r="AJ199" s="14"/>
      <c r="AN199"/>
      <c r="AO199"/>
      <c r="AP199"/>
      <c r="AQ199"/>
      <c r="AR199"/>
      <c r="AS199"/>
      <c r="AT199"/>
      <c r="AU199"/>
      <c r="AV199"/>
      <c r="AW199"/>
      <c r="AX199"/>
      <c r="AY199" s="11"/>
      <c r="AZ199" s="11"/>
      <c r="BA199"/>
      <c r="BB199"/>
      <c r="BD199"/>
      <c r="BE199"/>
      <c r="BG199"/>
      <c r="BJ199"/>
    </row>
    <row r="200" spans="33:62" ht="13.8" hidden="1" x14ac:dyDescent="0.25">
      <c r="AG200" s="13"/>
      <c r="AH200" s="14"/>
      <c r="AI200" s="13"/>
      <c r="AJ200" s="14"/>
      <c r="AN200"/>
      <c r="AO200"/>
      <c r="AP200"/>
      <c r="AQ200"/>
      <c r="AR200"/>
      <c r="AS200"/>
      <c r="AT200"/>
      <c r="AU200"/>
      <c r="AV200"/>
      <c r="AW200"/>
      <c r="AX200"/>
      <c r="AY200" s="11"/>
      <c r="AZ200" s="11"/>
      <c r="BA200"/>
      <c r="BB200"/>
      <c r="BD200"/>
      <c r="BE200"/>
      <c r="BG200"/>
      <c r="BJ200"/>
    </row>
    <row r="201" spans="33:62" ht="13.8" hidden="1" x14ac:dyDescent="0.25">
      <c r="AG201" s="13"/>
      <c r="AH201" s="14"/>
      <c r="AI201" s="13"/>
      <c r="AJ201" s="14"/>
      <c r="AN201"/>
      <c r="AO201"/>
      <c r="AP201"/>
      <c r="AQ201"/>
      <c r="AR201"/>
      <c r="AS201"/>
      <c r="AT201"/>
      <c r="AU201"/>
      <c r="AV201"/>
      <c r="AW201"/>
      <c r="AX201"/>
      <c r="AY201" s="11"/>
      <c r="AZ201" s="11"/>
      <c r="BA201"/>
      <c r="BB201"/>
      <c r="BD201"/>
      <c r="BE201"/>
      <c r="BG201"/>
      <c r="BJ201"/>
    </row>
    <row r="202" spans="33:62" ht="13.8" hidden="1" x14ac:dyDescent="0.25">
      <c r="AG202" s="13"/>
      <c r="AH202" s="14"/>
      <c r="AI202" s="13"/>
      <c r="AJ202" s="14"/>
      <c r="AN202"/>
      <c r="AO202"/>
      <c r="AP202"/>
      <c r="AQ202"/>
      <c r="AR202"/>
      <c r="AS202"/>
      <c r="AT202"/>
      <c r="AU202"/>
      <c r="AV202"/>
      <c r="AW202"/>
      <c r="AX202"/>
      <c r="AY202" s="11"/>
      <c r="AZ202" s="11"/>
      <c r="BA202"/>
      <c r="BB202"/>
      <c r="BD202"/>
      <c r="BE202"/>
      <c r="BG202"/>
      <c r="BJ202"/>
    </row>
    <row r="203" spans="33:62" ht="13.8" hidden="1" x14ac:dyDescent="0.25">
      <c r="AG203" s="13"/>
      <c r="AH203" s="14"/>
      <c r="AI203" s="13"/>
      <c r="AJ203" s="14"/>
      <c r="AN203"/>
      <c r="AO203"/>
      <c r="AP203"/>
      <c r="AQ203"/>
      <c r="AR203"/>
      <c r="AS203"/>
      <c r="AT203"/>
      <c r="AU203"/>
      <c r="AV203"/>
      <c r="AW203"/>
      <c r="AX203"/>
      <c r="AY203" s="11"/>
      <c r="AZ203" s="11"/>
      <c r="BA203"/>
      <c r="BB203"/>
      <c r="BD203"/>
      <c r="BE203"/>
      <c r="BG203"/>
      <c r="BJ203"/>
    </row>
    <row r="204" spans="33:62" ht="13.8" hidden="1" x14ac:dyDescent="0.25">
      <c r="AG204" s="13"/>
      <c r="AH204" s="14"/>
      <c r="AI204" s="13"/>
      <c r="AJ204" s="14"/>
      <c r="AN204"/>
      <c r="AO204"/>
      <c r="AP204"/>
      <c r="AQ204"/>
      <c r="AR204"/>
      <c r="AS204"/>
      <c r="AT204"/>
      <c r="AU204"/>
      <c r="AV204"/>
      <c r="AW204"/>
      <c r="AX204"/>
      <c r="AY204" s="11"/>
      <c r="AZ204" s="11"/>
      <c r="BA204"/>
      <c r="BB204"/>
      <c r="BD204"/>
      <c r="BE204"/>
      <c r="BG204"/>
      <c r="BJ204"/>
    </row>
    <row r="205" spans="33:62" ht="13.8" hidden="1" x14ac:dyDescent="0.25">
      <c r="AG205" s="13"/>
      <c r="AH205" s="14"/>
      <c r="AI205" s="13"/>
      <c r="AJ205" s="14"/>
      <c r="AN205"/>
      <c r="AO205"/>
      <c r="AP205"/>
      <c r="AQ205"/>
      <c r="AR205"/>
      <c r="AS205"/>
      <c r="AT205"/>
      <c r="AU205"/>
      <c r="AV205"/>
      <c r="AW205"/>
      <c r="AX205"/>
      <c r="AY205" s="11"/>
      <c r="AZ205" s="11"/>
      <c r="BA205"/>
      <c r="BB205"/>
      <c r="BD205"/>
      <c r="BE205"/>
      <c r="BG205"/>
      <c r="BJ205"/>
    </row>
    <row r="206" spans="33:62" ht="13.8" hidden="1" x14ac:dyDescent="0.25">
      <c r="AG206" s="13"/>
      <c r="AH206" s="14"/>
      <c r="AI206" s="13"/>
      <c r="AJ206" s="14"/>
      <c r="AN206"/>
      <c r="AO206"/>
      <c r="AP206"/>
      <c r="AQ206"/>
      <c r="AR206"/>
      <c r="AS206"/>
      <c r="AT206"/>
      <c r="AU206"/>
      <c r="AV206"/>
      <c r="AW206"/>
      <c r="AX206"/>
      <c r="AY206" s="11"/>
      <c r="AZ206" s="11"/>
      <c r="BA206"/>
      <c r="BB206"/>
      <c r="BD206"/>
      <c r="BE206"/>
      <c r="BG206"/>
      <c r="BJ206"/>
    </row>
    <row r="207" spans="33:62" ht="13.8" hidden="1" x14ac:dyDescent="0.25">
      <c r="AG207" s="13"/>
      <c r="AH207" s="14"/>
      <c r="AI207" s="13"/>
      <c r="AJ207" s="14"/>
      <c r="AN207"/>
      <c r="AO207"/>
      <c r="AP207"/>
      <c r="AQ207"/>
      <c r="AR207"/>
      <c r="AS207"/>
      <c r="AT207"/>
      <c r="AU207"/>
      <c r="AV207"/>
      <c r="AW207"/>
      <c r="AX207"/>
      <c r="AY207" s="11"/>
      <c r="AZ207" s="11"/>
      <c r="BA207"/>
      <c r="BB207"/>
      <c r="BD207"/>
      <c r="BE207"/>
      <c r="BG207"/>
      <c r="BJ207"/>
    </row>
    <row r="208" spans="33:62" ht="13.8" hidden="1" x14ac:dyDescent="0.25">
      <c r="AG208" s="13"/>
      <c r="AH208" s="14"/>
      <c r="AI208" s="13"/>
      <c r="AJ208" s="14"/>
      <c r="AN208"/>
      <c r="AO208"/>
      <c r="AP208"/>
      <c r="AQ208"/>
      <c r="AR208"/>
      <c r="AS208"/>
      <c r="AT208"/>
      <c r="AU208"/>
      <c r="AV208"/>
      <c r="AW208"/>
      <c r="AX208"/>
      <c r="AY208" s="11"/>
      <c r="AZ208" s="11"/>
      <c r="BA208"/>
      <c r="BB208"/>
      <c r="BD208"/>
      <c r="BE208"/>
      <c r="BG208"/>
      <c r="BJ208"/>
    </row>
    <row r="209" spans="33:62" ht="13.8" hidden="1" x14ac:dyDescent="0.25">
      <c r="AG209" s="13"/>
      <c r="AH209" s="14"/>
      <c r="AI209" s="13"/>
      <c r="AJ209" s="14"/>
      <c r="AN209"/>
      <c r="AO209"/>
      <c r="AP209"/>
      <c r="AQ209"/>
      <c r="AR209"/>
      <c r="AS209"/>
      <c r="AT209"/>
      <c r="AU209"/>
      <c r="AV209"/>
      <c r="AW209"/>
      <c r="AX209"/>
      <c r="AY209" s="11"/>
      <c r="AZ209" s="11"/>
      <c r="BA209"/>
      <c r="BB209"/>
      <c r="BD209"/>
      <c r="BE209"/>
      <c r="BG209"/>
      <c r="BJ209"/>
    </row>
    <row r="210" spans="33:62" ht="13.8" hidden="1" x14ac:dyDescent="0.25">
      <c r="AG210" s="13"/>
      <c r="AH210" s="14"/>
      <c r="AI210" s="13"/>
      <c r="AJ210" s="14"/>
      <c r="AN210"/>
      <c r="AO210"/>
      <c r="AP210"/>
      <c r="AQ210"/>
      <c r="AR210"/>
      <c r="AS210"/>
      <c r="AT210"/>
      <c r="AU210"/>
      <c r="AV210"/>
      <c r="AW210"/>
      <c r="AX210"/>
      <c r="AY210" s="11"/>
      <c r="AZ210" s="11"/>
      <c r="BA210"/>
      <c r="BB210"/>
      <c r="BD210"/>
      <c r="BE210"/>
      <c r="BG210"/>
      <c r="BJ210"/>
    </row>
    <row r="211" spans="33:62" ht="13.8" hidden="1" x14ac:dyDescent="0.25">
      <c r="AG211" s="13"/>
      <c r="AH211" s="14"/>
      <c r="AI211" s="13"/>
      <c r="AJ211" s="14"/>
      <c r="AN211"/>
      <c r="AO211"/>
      <c r="AP211"/>
      <c r="AQ211"/>
      <c r="AR211"/>
      <c r="AS211"/>
      <c r="AT211"/>
      <c r="AU211"/>
      <c r="AV211"/>
      <c r="AW211"/>
      <c r="AX211"/>
      <c r="AY211" s="11"/>
      <c r="AZ211" s="11"/>
      <c r="BA211"/>
      <c r="BB211"/>
      <c r="BD211"/>
      <c r="BE211"/>
      <c r="BG211"/>
      <c r="BJ211"/>
    </row>
    <row r="212" spans="33:62" ht="13.8" hidden="1" x14ac:dyDescent="0.25">
      <c r="AG212" s="13"/>
      <c r="AH212" s="14"/>
      <c r="AI212" s="13"/>
      <c r="AJ212" s="14"/>
      <c r="AN212"/>
      <c r="AO212"/>
      <c r="AP212"/>
      <c r="AQ212"/>
      <c r="AR212"/>
      <c r="AS212"/>
      <c r="AT212"/>
      <c r="AU212"/>
      <c r="AV212"/>
      <c r="AW212"/>
      <c r="AX212"/>
      <c r="AY212" s="11"/>
      <c r="AZ212" s="11"/>
      <c r="BA212"/>
      <c r="BB212"/>
      <c r="BD212"/>
      <c r="BE212"/>
      <c r="BG212"/>
      <c r="BJ212"/>
    </row>
    <row r="213" spans="33:62" ht="13.8" hidden="1" x14ac:dyDescent="0.25">
      <c r="AG213" s="13"/>
      <c r="AH213" s="14"/>
      <c r="AI213" s="13"/>
      <c r="AJ213" s="14"/>
      <c r="AN213"/>
      <c r="AO213"/>
      <c r="AP213"/>
      <c r="AQ213"/>
      <c r="AR213"/>
      <c r="AS213"/>
      <c r="AT213"/>
      <c r="AU213"/>
      <c r="AV213"/>
      <c r="AW213"/>
      <c r="AX213"/>
      <c r="AY213" s="11"/>
      <c r="AZ213" s="11"/>
      <c r="BA213"/>
      <c r="BB213"/>
      <c r="BD213"/>
      <c r="BE213"/>
      <c r="BG213"/>
      <c r="BJ213"/>
    </row>
    <row r="214" spans="33:62" ht="13.8" hidden="1" x14ac:dyDescent="0.25">
      <c r="AG214" s="13"/>
      <c r="AH214" s="14"/>
      <c r="AI214" s="13"/>
      <c r="AJ214" s="14"/>
      <c r="AN214"/>
      <c r="AO214"/>
      <c r="AP214"/>
      <c r="AQ214"/>
      <c r="AR214"/>
      <c r="AS214"/>
      <c r="AT214"/>
      <c r="AU214"/>
      <c r="AV214"/>
      <c r="AW214"/>
      <c r="AX214"/>
      <c r="AY214" s="11"/>
      <c r="AZ214" s="11"/>
      <c r="BA214"/>
      <c r="BB214"/>
      <c r="BD214"/>
      <c r="BE214"/>
      <c r="BG214"/>
      <c r="BJ214"/>
    </row>
    <row r="215" spans="33:62" ht="13.8" hidden="1" x14ac:dyDescent="0.25">
      <c r="AG215" s="13"/>
      <c r="AH215" s="14"/>
      <c r="AI215" s="13"/>
      <c r="AJ215" s="14"/>
      <c r="AN215"/>
      <c r="AO215"/>
      <c r="AP215"/>
      <c r="AQ215"/>
      <c r="AR215"/>
      <c r="AS215"/>
      <c r="AT215"/>
      <c r="AU215"/>
      <c r="AV215"/>
      <c r="AW215"/>
      <c r="AX215"/>
      <c r="AY215" s="11"/>
      <c r="AZ215" s="11"/>
      <c r="BA215"/>
      <c r="BB215"/>
      <c r="BD215"/>
      <c r="BE215"/>
      <c r="BG215"/>
      <c r="BJ215"/>
    </row>
    <row r="216" spans="33:62" ht="13.8" hidden="1" x14ac:dyDescent="0.25">
      <c r="AG216" s="13"/>
      <c r="AH216" s="14"/>
      <c r="AI216" s="13"/>
      <c r="AJ216" s="14"/>
      <c r="AN216"/>
      <c r="AO216"/>
      <c r="AP216"/>
      <c r="AQ216"/>
      <c r="AR216"/>
      <c r="AS216"/>
      <c r="AT216"/>
      <c r="AU216"/>
      <c r="AV216"/>
      <c r="AW216"/>
      <c r="AX216"/>
      <c r="AY216" s="11"/>
      <c r="AZ216" s="11"/>
      <c r="BA216"/>
      <c r="BB216"/>
      <c r="BD216"/>
      <c r="BE216"/>
      <c r="BG216"/>
      <c r="BJ216"/>
    </row>
    <row r="217" spans="33:62" ht="13.8" hidden="1" x14ac:dyDescent="0.25">
      <c r="AG217" s="13"/>
      <c r="AH217" s="14"/>
      <c r="AI217" s="13"/>
      <c r="AJ217" s="14"/>
      <c r="AN217"/>
      <c r="AO217"/>
      <c r="AP217"/>
      <c r="AQ217"/>
      <c r="AR217"/>
      <c r="AS217"/>
      <c r="AT217"/>
      <c r="AU217"/>
      <c r="AV217"/>
      <c r="AW217"/>
      <c r="AX217"/>
      <c r="AY217" s="11"/>
      <c r="AZ217" s="11"/>
      <c r="BA217"/>
      <c r="BB217"/>
      <c r="BD217"/>
      <c r="BE217"/>
      <c r="BG217"/>
      <c r="BJ217"/>
    </row>
    <row r="218" spans="33:62" ht="13.8" hidden="1" x14ac:dyDescent="0.25">
      <c r="AG218" s="13"/>
      <c r="AH218" s="14"/>
      <c r="AI218" s="13"/>
      <c r="AJ218" s="14"/>
      <c r="AN218"/>
      <c r="AO218"/>
      <c r="AP218"/>
      <c r="AQ218"/>
      <c r="AR218"/>
      <c r="AS218"/>
      <c r="AT218"/>
      <c r="AU218"/>
      <c r="AV218"/>
      <c r="AW218"/>
      <c r="AX218"/>
      <c r="AY218" s="11"/>
      <c r="AZ218" s="11"/>
      <c r="BA218"/>
      <c r="BB218"/>
      <c r="BD218"/>
      <c r="BE218"/>
      <c r="BG218"/>
      <c r="BJ218"/>
    </row>
    <row r="219" spans="33:62" ht="13.2" hidden="1" x14ac:dyDescent="0.25">
      <c r="AN219"/>
      <c r="AO219"/>
      <c r="AP219"/>
      <c r="AQ219"/>
      <c r="AR219"/>
      <c r="AS219"/>
      <c r="AT219"/>
      <c r="AU219"/>
      <c r="AV219"/>
      <c r="AW219"/>
      <c r="AX219"/>
      <c r="BA219"/>
      <c r="BB219"/>
      <c r="BD219"/>
      <c r="BE219"/>
      <c r="BG219"/>
      <c r="BJ219"/>
    </row>
    <row r="220" spans="33:62" ht="13.2" hidden="1" x14ac:dyDescent="0.25">
      <c r="BA220"/>
      <c r="BB220"/>
      <c r="BG220"/>
      <c r="BJ220"/>
    </row>
    <row r="221" spans="33:62" ht="13.2" hidden="1" x14ac:dyDescent="0.25">
      <c r="BA221"/>
      <c r="BB221"/>
      <c r="BG221"/>
      <c r="BJ221"/>
    </row>
    <row r="222" spans="33:62" ht="13.2" hidden="1" x14ac:dyDescent="0.25">
      <c r="BA222"/>
      <c r="BB222"/>
      <c r="BG222"/>
      <c r="BJ222"/>
    </row>
    <row r="223" spans="33:62" ht="13.2" hidden="1" x14ac:dyDescent="0.25">
      <c r="BA223"/>
      <c r="BB223"/>
      <c r="BG223"/>
      <c r="BJ223"/>
    </row>
    <row r="224" spans="33:62" ht="13.2" hidden="1" x14ac:dyDescent="0.25">
      <c r="BA224"/>
      <c r="BB224"/>
      <c r="BG224"/>
      <c r="BJ224"/>
    </row>
    <row r="225" spans="53:62" ht="13.2" hidden="1" x14ac:dyDescent="0.25">
      <c r="BA225"/>
      <c r="BB225"/>
      <c r="BG225"/>
      <c r="BJ225"/>
    </row>
    <row r="226" spans="53:62" ht="13.2" hidden="1" x14ac:dyDescent="0.25">
      <c r="BA226"/>
      <c r="BB226"/>
      <c r="BG226"/>
      <c r="BJ226"/>
    </row>
    <row r="227" spans="53:62" ht="13.2" hidden="1" x14ac:dyDescent="0.25">
      <c r="BA227"/>
      <c r="BB227"/>
      <c r="BG227"/>
      <c r="BJ227"/>
    </row>
    <row r="228" spans="53:62" ht="13.2" hidden="1" x14ac:dyDescent="0.25">
      <c r="BA228"/>
      <c r="BB228"/>
      <c r="BG228"/>
      <c r="BJ228"/>
    </row>
    <row r="229" spans="53:62" ht="13.2" hidden="1" x14ac:dyDescent="0.25">
      <c r="BA229"/>
      <c r="BB229"/>
      <c r="BG229"/>
      <c r="BJ229"/>
    </row>
    <row r="230" spans="53:62" ht="13.2" hidden="1" x14ac:dyDescent="0.25">
      <c r="BA230"/>
      <c r="BB230"/>
      <c r="BG230"/>
      <c r="BJ230"/>
    </row>
    <row r="231" spans="53:62" ht="13.2" hidden="1" x14ac:dyDescent="0.25">
      <c r="BA231"/>
      <c r="BB231"/>
      <c r="BG231"/>
      <c r="BJ231"/>
    </row>
    <row r="232" spans="53:62" ht="13.2" hidden="1" x14ac:dyDescent="0.25">
      <c r="BA232"/>
      <c r="BB232"/>
      <c r="BG232"/>
      <c r="BJ232"/>
    </row>
    <row r="233" spans="53:62" ht="13.2" hidden="1" x14ac:dyDescent="0.25">
      <c r="BA233"/>
      <c r="BB233"/>
      <c r="BG233"/>
      <c r="BJ233"/>
    </row>
    <row r="234" spans="53:62" ht="13.2" hidden="1" x14ac:dyDescent="0.25">
      <c r="BA234"/>
      <c r="BB234"/>
      <c r="BG234"/>
      <c r="BJ234"/>
    </row>
    <row r="235" spans="53:62" ht="13.2" hidden="1" x14ac:dyDescent="0.25">
      <c r="BA235"/>
      <c r="BB235"/>
      <c r="BG235"/>
      <c r="BJ235"/>
    </row>
    <row r="236" spans="53:62" ht="13.2" hidden="1" x14ac:dyDescent="0.25">
      <c r="BA236"/>
      <c r="BB236"/>
      <c r="BG236"/>
      <c r="BJ236"/>
    </row>
    <row r="237" spans="53:62" ht="13.2" hidden="1" x14ac:dyDescent="0.25">
      <c r="BA237"/>
      <c r="BB237"/>
      <c r="BG237"/>
      <c r="BJ237"/>
    </row>
    <row r="238" spans="53:62" ht="13.2" hidden="1" x14ac:dyDescent="0.25">
      <c r="BA238"/>
      <c r="BB238"/>
      <c r="BG238"/>
      <c r="BJ238"/>
    </row>
    <row r="239" spans="53:62" ht="13.2" hidden="1" x14ac:dyDescent="0.25">
      <c r="BA239"/>
      <c r="BB239"/>
      <c r="BG239"/>
      <c r="BJ239"/>
    </row>
    <row r="240" spans="53:62" ht="13.2" hidden="1" x14ac:dyDescent="0.25">
      <c r="BA240"/>
      <c r="BB240"/>
      <c r="BG240"/>
      <c r="BJ240"/>
    </row>
    <row r="241" spans="53:62" ht="13.2" hidden="1" x14ac:dyDescent="0.25">
      <c r="BA241"/>
      <c r="BB241"/>
      <c r="BG241"/>
      <c r="BJ241"/>
    </row>
    <row r="242" spans="53:62" ht="13.2" hidden="1" x14ac:dyDescent="0.25">
      <c r="BA242"/>
      <c r="BB242"/>
      <c r="BG242"/>
      <c r="BJ242"/>
    </row>
    <row r="243" spans="53:62" ht="13.2" hidden="1" x14ac:dyDescent="0.25">
      <c r="BA243"/>
      <c r="BB243"/>
      <c r="BG243"/>
      <c r="BJ243"/>
    </row>
    <row r="244" spans="53:62" ht="13.2" hidden="1" x14ac:dyDescent="0.25">
      <c r="BA244"/>
      <c r="BB244"/>
      <c r="BG244"/>
      <c r="BJ244"/>
    </row>
    <row r="245" spans="53:62" ht="13.2" hidden="1" x14ac:dyDescent="0.25">
      <c r="BA245"/>
      <c r="BB245"/>
      <c r="BG245"/>
      <c r="BJ245"/>
    </row>
    <row r="246" spans="53:62" ht="13.2" hidden="1" x14ac:dyDescent="0.25">
      <c r="BA246"/>
      <c r="BB246"/>
      <c r="BG246"/>
      <c r="BJ246"/>
    </row>
    <row r="247" spans="53:62" ht="13.2" hidden="1" x14ac:dyDescent="0.25">
      <c r="BA247"/>
      <c r="BB247"/>
      <c r="BG247"/>
      <c r="BJ247"/>
    </row>
    <row r="248" spans="53:62" ht="13.2" hidden="1" x14ac:dyDescent="0.25">
      <c r="BA248"/>
      <c r="BB248"/>
      <c r="BG248"/>
      <c r="BJ248"/>
    </row>
    <row r="249" spans="53:62" ht="13.2" hidden="1" x14ac:dyDescent="0.25">
      <c r="BA249"/>
      <c r="BB249"/>
      <c r="BG249"/>
      <c r="BJ249"/>
    </row>
    <row r="250" spans="53:62" ht="13.2" hidden="1" x14ac:dyDescent="0.25">
      <c r="BA250"/>
      <c r="BB250"/>
      <c r="BG250"/>
      <c r="BJ250"/>
    </row>
    <row r="251" spans="53:62" ht="13.2" hidden="1" x14ac:dyDescent="0.25">
      <c r="BA251"/>
      <c r="BB251"/>
      <c r="BG251"/>
      <c r="BJ251"/>
    </row>
    <row r="252" spans="53:62" ht="13.2" hidden="1" x14ac:dyDescent="0.25">
      <c r="BA252"/>
      <c r="BB252"/>
      <c r="BG252"/>
      <c r="BJ252"/>
    </row>
    <row r="253" spans="53:62" ht="13.2" hidden="1" x14ac:dyDescent="0.25">
      <c r="BA253"/>
      <c r="BB253"/>
      <c r="BG253"/>
      <c r="BJ253"/>
    </row>
    <row r="254" spans="53:62" ht="13.2" hidden="1" x14ac:dyDescent="0.25">
      <c r="BA254"/>
      <c r="BB254"/>
      <c r="BG254"/>
      <c r="BJ254"/>
    </row>
    <row r="255" spans="53:62" ht="13.2" hidden="1" x14ac:dyDescent="0.25">
      <c r="BA255"/>
      <c r="BB255"/>
      <c r="BG255"/>
      <c r="BJ255"/>
    </row>
    <row r="256" spans="53:62" ht="13.2" hidden="1" x14ac:dyDescent="0.25">
      <c r="BA256"/>
      <c r="BB256"/>
      <c r="BG256"/>
      <c r="BJ256"/>
    </row>
    <row r="257" spans="53:62" ht="13.2" hidden="1" x14ac:dyDescent="0.25">
      <c r="BA257"/>
      <c r="BB257"/>
      <c r="BG257"/>
      <c r="BJ257"/>
    </row>
    <row r="258" spans="53:62" ht="13.2" hidden="1" x14ac:dyDescent="0.25">
      <c r="BA258"/>
      <c r="BB258"/>
      <c r="BG258"/>
      <c r="BJ258"/>
    </row>
    <row r="259" spans="53:62" ht="13.2" hidden="1" x14ac:dyDescent="0.25">
      <c r="BA259"/>
      <c r="BB259"/>
      <c r="BG259"/>
      <c r="BJ259"/>
    </row>
    <row r="260" spans="53:62" ht="13.2" hidden="1" x14ac:dyDescent="0.25">
      <c r="BA260"/>
      <c r="BB260"/>
      <c r="BG260"/>
      <c r="BJ260"/>
    </row>
    <row r="261" spans="53:62" ht="13.2" hidden="1" x14ac:dyDescent="0.25">
      <c r="BA261"/>
      <c r="BB261"/>
      <c r="BG261"/>
      <c r="BJ261"/>
    </row>
    <row r="262" spans="53:62" ht="13.2" hidden="1" x14ac:dyDescent="0.25">
      <c r="BA262"/>
      <c r="BB262"/>
      <c r="BG262"/>
      <c r="BJ262"/>
    </row>
    <row r="263" spans="53:62" ht="13.2" hidden="1" x14ac:dyDescent="0.25">
      <c r="BA263"/>
      <c r="BB263"/>
      <c r="BG263"/>
      <c r="BJ263"/>
    </row>
    <row r="264" spans="53:62" ht="13.2" hidden="1" x14ac:dyDescent="0.25">
      <c r="BA264"/>
      <c r="BB264"/>
      <c r="BG264"/>
      <c r="BJ264"/>
    </row>
    <row r="265" spans="53:62" ht="13.2" hidden="1" x14ac:dyDescent="0.25">
      <c r="BA265"/>
      <c r="BB265"/>
      <c r="BG265"/>
      <c r="BJ265"/>
    </row>
    <row r="266" spans="53:62" ht="13.2" hidden="1" x14ac:dyDescent="0.25">
      <c r="BA266"/>
      <c r="BB266"/>
      <c r="BG266"/>
      <c r="BJ266"/>
    </row>
    <row r="267" spans="53:62" ht="13.2" hidden="1" x14ac:dyDescent="0.25">
      <c r="BA267"/>
      <c r="BB267"/>
      <c r="BG267"/>
      <c r="BJ267"/>
    </row>
    <row r="268" spans="53:62" ht="13.2" hidden="1" x14ac:dyDescent="0.25">
      <c r="BA268"/>
      <c r="BB268"/>
      <c r="BG268"/>
      <c r="BJ268"/>
    </row>
    <row r="269" spans="53:62" ht="13.2" hidden="1" x14ac:dyDescent="0.25">
      <c r="BA269"/>
      <c r="BB269"/>
      <c r="BG269"/>
      <c r="BJ269"/>
    </row>
    <row r="270" spans="53:62" ht="13.2" hidden="1" x14ac:dyDescent="0.25">
      <c r="BA270"/>
      <c r="BB270"/>
      <c r="BG270"/>
      <c r="BJ270"/>
    </row>
    <row r="271" spans="53:62" ht="13.2" hidden="1" x14ac:dyDescent="0.25">
      <c r="BA271"/>
      <c r="BB271"/>
      <c r="BG271"/>
      <c r="BJ271"/>
    </row>
    <row r="272" spans="53:62" ht="13.2" hidden="1" x14ac:dyDescent="0.25">
      <c r="BA272"/>
      <c r="BB272"/>
      <c r="BG272"/>
      <c r="BJ272"/>
    </row>
    <row r="273" spans="53:62" ht="13.2" hidden="1" x14ac:dyDescent="0.25">
      <c r="BA273"/>
      <c r="BB273"/>
      <c r="BG273"/>
      <c r="BJ273"/>
    </row>
    <row r="274" spans="53:62" ht="13.2" hidden="1" x14ac:dyDescent="0.25">
      <c r="BA274"/>
      <c r="BB274"/>
      <c r="BG274"/>
      <c r="BJ274"/>
    </row>
    <row r="275" spans="53:62" ht="13.2" hidden="1" x14ac:dyDescent="0.25">
      <c r="BA275"/>
      <c r="BB275"/>
      <c r="BG275"/>
      <c r="BJ275"/>
    </row>
    <row r="276" spans="53:62" ht="13.2" hidden="1" x14ac:dyDescent="0.25">
      <c r="BA276"/>
      <c r="BB276"/>
      <c r="BG276"/>
      <c r="BJ276"/>
    </row>
    <row r="277" spans="53:62" ht="13.2" hidden="1" x14ac:dyDescent="0.25"/>
    <row r="278" spans="53:62" ht="13.2" hidden="1" x14ac:dyDescent="0.25"/>
    <row r="279" spans="53:62" ht="12.75" hidden="1" customHeight="1" x14ac:dyDescent="0.25"/>
  </sheetData>
  <sheetProtection algorithmName="SHA-512" hashValue="ERPmFuPGsLJseSjEgLKW1XJjv7baw8GCbcTR8WVxvqSQYkwsMxgnM7o6OW9RgtzTW9oD9aI/3l43/5Vi8Fx+jA==" saltValue="972gaYlitOW7wngwfUaXmw==" spinCount="100000" sheet="1" objects="1" scenarios="1"/>
  <mergeCells count="24">
    <mergeCell ref="B102:H105"/>
    <mergeCell ref="AA37:AA38"/>
    <mergeCell ref="N37:N38"/>
    <mergeCell ref="Q16:T16"/>
    <mergeCell ref="Q14:T14"/>
    <mergeCell ref="Q15:T15"/>
    <mergeCell ref="E21:H22"/>
    <mergeCell ref="M16:N16"/>
    <mergeCell ref="M20:N20"/>
    <mergeCell ref="I30:J30"/>
    <mergeCell ref="I21:I22"/>
    <mergeCell ref="Q4:S4"/>
    <mergeCell ref="Q5:S5"/>
    <mergeCell ref="Q9:R9"/>
    <mergeCell ref="K8:K9"/>
    <mergeCell ref="AQ37:AT37"/>
    <mergeCell ref="Q24:T24"/>
    <mergeCell ref="AL34:AO34"/>
    <mergeCell ref="AV37:AW37"/>
    <mergeCell ref="AX37:AY37"/>
    <mergeCell ref="AL35:AO35"/>
    <mergeCell ref="J37:J38"/>
    <mergeCell ref="W37:W38"/>
    <mergeCell ref="AL37:AO37"/>
  </mergeCells>
  <conditionalFormatting sqref="B39:B98 O39:O98">
    <cfRule type="cellIs" dxfId="33" priority="32" operator="greaterThan">
      <formula>120</formula>
    </cfRule>
  </conditionalFormatting>
  <conditionalFormatting sqref="C39:D98 P39:Q98 R39:V99 X99:Z99">
    <cfRule type="cellIs" dxfId="32" priority="33" operator="equal">
      <formula>0</formula>
    </cfRule>
  </conditionalFormatting>
  <conditionalFormatting sqref="E23">
    <cfRule type="expression" dxfId="31" priority="27">
      <formula>$G$23=0</formula>
    </cfRule>
  </conditionalFormatting>
  <conditionalFormatting sqref="E39:I99">
    <cfRule type="cellIs" dxfId="30" priority="23" operator="equal">
      <formula>0</formula>
    </cfRule>
  </conditionalFormatting>
  <conditionalFormatting sqref="G23">
    <cfRule type="cellIs" dxfId="29" priority="28" operator="equal">
      <formula>0</formula>
    </cfRule>
  </conditionalFormatting>
  <conditionalFormatting sqref="J39:J98">
    <cfRule type="expression" dxfId="28" priority="2">
      <formula>$L$106&lt;0</formula>
    </cfRule>
  </conditionalFormatting>
  <conditionalFormatting sqref="K99:M99">
    <cfRule type="cellIs" dxfId="27" priority="19" operator="equal">
      <formula>0</formula>
    </cfRule>
  </conditionalFormatting>
  <conditionalFormatting sqref="K39:N98">
    <cfRule type="cellIs" dxfId="26" priority="5" operator="equal">
      <formula>0</formula>
    </cfRule>
    <cfRule type="expression" dxfId="25" priority="6">
      <formula>$R$104&lt;0</formula>
    </cfRule>
  </conditionalFormatting>
  <conditionalFormatting sqref="N99">
    <cfRule type="cellIs" dxfId="24" priority="3" operator="equal">
      <formula>0</formula>
    </cfRule>
  </conditionalFormatting>
  <conditionalFormatting sqref="Q4:Q5">
    <cfRule type="expression" dxfId="23" priority="71">
      <formula>$S$6=0</formula>
    </cfRule>
    <cfRule type="expression" dxfId="22" priority="72">
      <formula>$S$6&gt;0</formula>
    </cfRule>
  </conditionalFormatting>
  <conditionalFormatting sqref="T8:AA8 Q9 S9 M20 O20">
    <cfRule type="notContainsBlanks" dxfId="21" priority="29">
      <formula>LEN(TRIM(M8))&gt;0</formula>
    </cfRule>
  </conditionalFormatting>
  <conditionalFormatting sqref="W39:W87">
    <cfRule type="expression" dxfId="20" priority="1">
      <formula>$L$106&lt;0</formula>
    </cfRule>
  </conditionalFormatting>
  <conditionalFormatting sqref="X39:AA98">
    <cfRule type="cellIs" dxfId="19" priority="17" operator="equal">
      <formula>0</formula>
    </cfRule>
  </conditionalFormatting>
  <conditionalFormatting sqref="X39:AB87 W88:AB98">
    <cfRule type="expression" dxfId="18" priority="21">
      <formula>$R$104&lt;0</formula>
    </cfRule>
  </conditionalFormatting>
  <conditionalFormatting sqref="AA99">
    <cfRule type="cellIs" dxfId="17" priority="7" operator="equal">
      <formula>0</formula>
    </cfRule>
  </conditionalFormatting>
  <dataValidations count="8">
    <dataValidation type="whole" operator="equal" allowBlank="1" showInputMessage="1" showErrorMessage="1" sqref="E18" xr:uid="{DE3FC55A-6DFB-4BB2-8451-47D84540DC23}">
      <formula1>60-E17</formula1>
    </dataValidation>
    <dataValidation type="whole" allowBlank="1" showInputMessage="1" showErrorMessage="1" sqref="E17" xr:uid="{CF2C0683-E6B0-4636-A2DC-A0F7FF65EFDA}">
      <formula1>1</formula1>
      <formula2>60</formula2>
    </dataValidation>
    <dataValidation type="custom" errorStyle="warning" operator="greaterThanOrEqual" allowBlank="1" showInputMessage="1" showErrorMessage="1" sqref="R104" xr:uid="{313969AE-A3A8-4455-958C-C44A2ED8A99A}">
      <formula1>(84-#REF!-#REF!)&lt;0</formula1>
    </dataValidation>
    <dataValidation type="list" allowBlank="1" showInputMessage="1" showErrorMessage="1" sqref="R21" xr:uid="{2A9E505A-55A8-4B50-BCBF-898D28D5420C}">
      <formula1>$AG$38:$AG$43</formula1>
    </dataValidation>
    <dataValidation type="whole" allowBlank="1" showInputMessage="1" showErrorMessage="1" sqref="B7" xr:uid="{E817803C-2D91-46BA-81CE-57F43580C0E0}">
      <formula1>250000</formula1>
      <formula2>50000000</formula2>
    </dataValidation>
    <dataValidation type="list" errorStyle="information" allowBlank="1" showInputMessage="1" errorTitle="Anticipos" error="Valor del anticipo en este mes" sqref="J39:J98" xr:uid="{F2460D8B-13AE-445C-AFE1-15F134B5A00E}">
      <formula1>$AR39</formula1>
    </dataValidation>
    <dataValidation type="list" errorStyle="information" allowBlank="1" showInputMessage="1" errorTitle="Anticipos" error="Valor del anticipo en este mes" sqref="W39:W98" xr:uid="{5F523E7F-18D3-43E4-AC5D-39CB65A2B265}">
      <formula1>$AT39</formula1>
    </dataValidation>
    <dataValidation type="list" errorStyle="information" allowBlank="1" showInputMessage="1" errorTitle="Anticipos" error="Valor del anticipo en este mes" sqref="AB39:AB98" xr:uid="{3EE8EBB6-A43F-4025-A357-6BCFDC3773EB}">
      <formula1>#REF!</formula1>
    </dataValidation>
  </dataValidations>
  <printOptions horizontalCentered="1"/>
  <pageMargins left="0.23622047244094491" right="0.15748031496062992" top="0.22" bottom="0.19" header="0.21" footer="0.17"/>
  <pageSetup scale="31" orientation="landscape" cellComments="asDisplayed" r:id="rId1"/>
  <ignoredErrors>
    <ignoredError sqref="F3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locked="0" defaultSize="0" autoFill="0" autoLine="0" autoPict="0">
                <anchor moveWithCells="1">
                  <from>
                    <xdr:col>15</xdr:col>
                    <xdr:colOff>952500</xdr:colOff>
                    <xdr:row>20</xdr:row>
                    <xdr:rowOff>182880</xdr:rowOff>
                  </from>
                  <to>
                    <xdr:col>16</xdr:col>
                    <xdr:colOff>182880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5" name="Check Box 23">
              <controlPr locked="0" defaultSize="0" autoFill="0" autoLine="0" autoPict="0">
                <anchor moveWithCells="1">
                  <from>
                    <xdr:col>15</xdr:col>
                    <xdr:colOff>952500</xdr:colOff>
                    <xdr:row>17</xdr:row>
                    <xdr:rowOff>198120</xdr:rowOff>
                  </from>
                  <to>
                    <xdr:col>16</xdr:col>
                    <xdr:colOff>182880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6" name="Check Box 30">
              <controlPr locked="0" defaultSize="0" autoFill="0" autoLine="0" autoPict="0">
                <anchor moveWithCells="1">
                  <from>
                    <xdr:col>15</xdr:col>
                    <xdr:colOff>952500</xdr:colOff>
                    <xdr:row>19</xdr:row>
                    <xdr:rowOff>190500</xdr:rowOff>
                  </from>
                  <to>
                    <xdr:col>16</xdr:col>
                    <xdr:colOff>182880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8C59-FA92-449F-9BD0-B261C40D619F}">
  <sheetPr>
    <pageSetUpPr fitToPage="1"/>
  </sheetPr>
  <dimension ref="A1:BY279"/>
  <sheetViews>
    <sheetView topLeftCell="A7" zoomScale="80" zoomScaleNormal="80" workbookViewId="0">
      <selection activeCell="B8" sqref="B8"/>
    </sheetView>
  </sheetViews>
  <sheetFormatPr baseColWidth="10" defaultColWidth="0" defaultRowHeight="0" customHeight="1" zeroHeight="1" x14ac:dyDescent="0.25"/>
  <cols>
    <col min="1" max="1" width="1.6640625" style="1" customWidth="1"/>
    <col min="2" max="27" width="17" style="1" customWidth="1"/>
    <col min="28" max="28" width="1.6640625" style="1" customWidth="1"/>
    <col min="29" max="30" width="17" style="134" customWidth="1"/>
    <col min="31" max="32" width="17" style="134" hidden="1" customWidth="1"/>
    <col min="33" max="33" width="5.5546875" style="1" hidden="1" customWidth="1"/>
    <col min="34" max="34" width="18.109375" style="1" hidden="1" customWidth="1"/>
    <col min="35" max="35" width="5.5546875" style="1" hidden="1" customWidth="1"/>
    <col min="36" max="36" width="20.33203125" style="1" hidden="1" customWidth="1"/>
    <col min="37" max="37" width="8.6640625" style="1" hidden="1" customWidth="1"/>
    <col min="38" max="38" width="5.5546875" style="1" hidden="1" customWidth="1"/>
    <col min="39" max="39" width="25.44140625" style="1" hidden="1" customWidth="1"/>
    <col min="40" max="40" width="5.5546875" style="1" hidden="1" customWidth="1"/>
    <col min="41" max="41" width="25.44140625" style="1" hidden="1" customWidth="1"/>
    <col min="42" max="42" width="12.109375" style="1" hidden="1" customWidth="1"/>
    <col min="43" max="43" width="5.5546875" style="1" hidden="1" customWidth="1"/>
    <col min="44" max="44" width="17.88671875" style="1" hidden="1" customWidth="1"/>
    <col min="45" max="45" width="5.5546875" style="1" hidden="1" customWidth="1"/>
    <col min="46" max="46" width="17.88671875" style="1" hidden="1" customWidth="1"/>
    <col min="47" max="47" width="4.33203125" style="1" hidden="1" customWidth="1"/>
    <col min="48" max="48" width="13.88671875" style="1" hidden="1" customWidth="1"/>
    <col min="49" max="49" width="14.33203125" style="1" hidden="1" customWidth="1"/>
    <col min="50" max="51" width="15.33203125" style="1" hidden="1" customWidth="1"/>
    <col min="52" max="52" width="8.6640625" style="1" hidden="1" customWidth="1"/>
    <col min="53" max="53" width="5" style="1" hidden="1" customWidth="1"/>
    <col min="54" max="54" width="18.88671875" style="1" hidden="1" customWidth="1"/>
    <col min="55" max="55" width="8.6640625" style="1" hidden="1" customWidth="1"/>
    <col min="56" max="56" width="5" style="1" hidden="1" customWidth="1"/>
    <col min="57" max="57" width="21.109375" style="1" hidden="1" customWidth="1"/>
    <col min="58" max="58" width="13.44140625" style="1" hidden="1" customWidth="1"/>
    <col min="59" max="59" width="5.6640625" style="1" hidden="1" customWidth="1"/>
    <col min="60" max="60" width="17.44140625" style="1" hidden="1" customWidth="1"/>
    <col min="61" max="61" width="13.44140625" style="1" hidden="1" customWidth="1"/>
    <col min="62" max="62" width="5" style="1" hidden="1" customWidth="1"/>
    <col min="63" max="63" width="17.44140625" style="1" hidden="1" customWidth="1"/>
    <col min="64" max="64" width="13.44140625" style="1" hidden="1" customWidth="1"/>
    <col min="65" max="65" width="3.5546875" style="1" hidden="1" customWidth="1"/>
    <col min="66" max="70" width="17" style="1" hidden="1" customWidth="1"/>
    <col min="71" max="72" width="3.5546875" style="1" hidden="1" customWidth="1"/>
    <col min="73" max="77" width="17" style="1" hidden="1" customWidth="1"/>
    <col min="78" max="16384" width="11.44140625" style="1" hidden="1"/>
  </cols>
  <sheetData>
    <row r="1" spans="1:70" ht="31.5" customHeight="1" x14ac:dyDescent="0.25">
      <c r="A1" s="220"/>
      <c r="B1" s="194"/>
      <c r="C1" s="194"/>
      <c r="D1" s="195"/>
      <c r="E1" s="198"/>
      <c r="F1" s="196"/>
      <c r="G1" s="198" t="s">
        <v>120</v>
      </c>
      <c r="H1" s="194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350"/>
      <c r="V1" s="350"/>
      <c r="W1" s="350"/>
      <c r="X1" s="350"/>
      <c r="Y1" s="350"/>
      <c r="Z1" s="350"/>
      <c r="AA1" s="350"/>
      <c r="AB1" s="199"/>
      <c r="AC1" s="131"/>
      <c r="AD1" s="137" t="s">
        <v>80</v>
      </c>
      <c r="AE1" s="131"/>
      <c r="AF1" s="131"/>
      <c r="AG1" s="3"/>
      <c r="AH1" s="7" t="s">
        <v>62</v>
      </c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/>
      <c r="BE1"/>
      <c r="BF1"/>
      <c r="BG1" s="3"/>
      <c r="BH1"/>
      <c r="BI1"/>
      <c r="BJ1" s="3"/>
      <c r="BK1"/>
      <c r="BL1"/>
      <c r="BM1" s="3"/>
      <c r="BN1" s="3"/>
      <c r="BO1" s="3"/>
      <c r="BP1" s="3"/>
      <c r="BQ1" s="3"/>
      <c r="BR1" s="3"/>
    </row>
    <row r="2" spans="1:70" ht="15.75" customHeight="1" x14ac:dyDescent="0.25">
      <c r="A2" s="9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91"/>
      <c r="AC2" s="132"/>
      <c r="AD2" s="132"/>
      <c r="AE2" s="132"/>
      <c r="AF2" s="132"/>
      <c r="AG2" s="3"/>
      <c r="AH2" s="3" t="s">
        <v>61</v>
      </c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/>
      <c r="BE2"/>
      <c r="BF2"/>
      <c r="BG2" s="3"/>
      <c r="BH2"/>
      <c r="BI2"/>
      <c r="BJ2" s="3"/>
      <c r="BK2"/>
      <c r="BL2"/>
      <c r="BM2" s="3"/>
      <c r="BN2" s="3"/>
      <c r="BO2" s="3"/>
      <c r="BP2" s="3"/>
      <c r="BQ2" s="3"/>
      <c r="BR2" s="3"/>
    </row>
    <row r="3" spans="1:70" ht="18" thickBot="1" x14ac:dyDescent="0.35">
      <c r="A3" s="94"/>
      <c r="B3" s="219" t="s">
        <v>103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61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91"/>
      <c r="AC3" s="132"/>
      <c r="AD3"/>
      <c r="AE3" s="132"/>
      <c r="AF3" s="132"/>
      <c r="AG3" s="3"/>
      <c r="AH3" s="3" t="s">
        <v>60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/>
      <c r="BE3"/>
      <c r="BF3"/>
      <c r="BG3" s="3"/>
      <c r="BH3"/>
      <c r="BI3"/>
      <c r="BJ3" s="3"/>
      <c r="BK3"/>
      <c r="BL3"/>
      <c r="BM3" s="3"/>
      <c r="BN3" s="3"/>
      <c r="BO3" s="3"/>
      <c r="BP3" s="3"/>
      <c r="BQ3" s="3"/>
      <c r="BR3" s="3"/>
    </row>
    <row r="4" spans="1:70" ht="15.75" customHeight="1" thickTop="1" x14ac:dyDescent="0.25">
      <c r="A4" s="94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2"/>
      <c r="Q4" s="581" t="s">
        <v>58</v>
      </c>
      <c r="R4" s="581"/>
      <c r="S4" s="581"/>
      <c r="T4" s="60"/>
      <c r="U4" s="60"/>
      <c r="V4" s="60"/>
      <c r="W4" s="60"/>
      <c r="X4" s="60"/>
      <c r="Y4" s="60"/>
      <c r="Z4" s="60"/>
      <c r="AA4" s="60"/>
      <c r="AB4" s="91"/>
      <c r="AC4" s="132"/>
      <c r="AD4" s="132"/>
      <c r="AE4" s="132"/>
      <c r="AF4" s="132"/>
      <c r="AG4"/>
      <c r="AH4"/>
      <c r="AI4"/>
      <c r="AJ4"/>
      <c r="AK4"/>
      <c r="AL4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/>
      <c r="BE4"/>
      <c r="BF4"/>
      <c r="BG4" s="3"/>
      <c r="BH4"/>
      <c r="BI4"/>
      <c r="BJ4" s="3"/>
      <c r="BK4"/>
      <c r="BL4"/>
      <c r="BM4" s="3"/>
      <c r="BN4" s="3"/>
      <c r="BO4" s="3"/>
      <c r="BP4" s="3"/>
      <c r="BQ4" s="3"/>
      <c r="BR4" s="3"/>
    </row>
    <row r="5" spans="1:70" ht="15.75" customHeight="1" x14ac:dyDescent="0.25">
      <c r="A5" s="94"/>
      <c r="B5" s="60"/>
      <c r="C5" s="60"/>
      <c r="D5" s="62"/>
      <c r="E5" s="104"/>
      <c r="F5" s="104"/>
      <c r="G5" s="104"/>
      <c r="H5" s="104"/>
      <c r="I5" s="105"/>
      <c r="J5" s="106"/>
      <c r="K5" s="107"/>
      <c r="L5" s="107"/>
      <c r="M5" s="107"/>
      <c r="N5" s="107"/>
      <c r="O5" s="107"/>
      <c r="P5" s="90"/>
      <c r="Q5" s="581" t="s">
        <v>79</v>
      </c>
      <c r="R5" s="581"/>
      <c r="S5" s="581"/>
      <c r="T5" s="163"/>
      <c r="U5" s="163"/>
      <c r="V5" s="163"/>
      <c r="W5" s="163"/>
      <c r="X5" s="163"/>
      <c r="Y5" s="163"/>
      <c r="Z5" s="163"/>
      <c r="AA5" s="163"/>
      <c r="AB5" s="100"/>
      <c r="AC5" s="132"/>
      <c r="AD5" s="132"/>
      <c r="AE5" s="132"/>
      <c r="AF5" s="132"/>
      <c r="AG5"/>
      <c r="AH5"/>
      <c r="AI5"/>
      <c r="AJ5"/>
      <c r="AK5"/>
      <c r="AL5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11"/>
      <c r="BC5" s="3"/>
      <c r="BD5"/>
      <c r="BE5"/>
      <c r="BF5"/>
      <c r="BG5" s="3"/>
      <c r="BH5"/>
      <c r="BI5"/>
      <c r="BJ5" s="3"/>
      <c r="BK5"/>
      <c r="BL5"/>
      <c r="BM5" s="3"/>
    </row>
    <row r="6" spans="1:70" ht="15.75" customHeight="1" x14ac:dyDescent="0.3">
      <c r="A6" s="94"/>
      <c r="B6" s="225" t="s">
        <v>0</v>
      </c>
      <c r="C6" s="226"/>
      <c r="D6" s="62"/>
      <c r="E6" s="225" t="s">
        <v>1</v>
      </c>
      <c r="F6" s="227"/>
      <c r="G6" s="228"/>
      <c r="H6" s="227"/>
      <c r="I6" s="63"/>
      <c r="J6" s="225" t="s">
        <v>95</v>
      </c>
      <c r="K6" s="225"/>
      <c r="L6" s="221"/>
      <c r="M6" s="235" t="s">
        <v>104</v>
      </c>
      <c r="N6" s="235"/>
      <c r="O6" s="235"/>
      <c r="P6" s="62"/>
      <c r="Q6" s="169" t="s">
        <v>53</v>
      </c>
      <c r="R6" s="62"/>
      <c r="S6" s="110">
        <f>SUM(J99,W99)</f>
        <v>0</v>
      </c>
      <c r="T6" s="163"/>
      <c r="U6" s="163"/>
      <c r="V6" s="163"/>
      <c r="W6" s="163"/>
      <c r="X6" s="163"/>
      <c r="Y6" s="163"/>
      <c r="Z6" s="163"/>
      <c r="AA6" s="163"/>
      <c r="AB6" s="91"/>
      <c r="AC6" s="150"/>
      <c r="AD6" s="150"/>
      <c r="AE6" s="150"/>
      <c r="AF6" s="150"/>
      <c r="AG6"/>
      <c r="AH6"/>
      <c r="AI6"/>
      <c r="AJ6"/>
      <c r="AK6"/>
      <c r="AL6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3"/>
      <c r="BB6" s="3"/>
      <c r="BC6" s="3"/>
      <c r="BD6"/>
      <c r="BE6"/>
      <c r="BF6"/>
      <c r="BG6" s="3"/>
      <c r="BH6"/>
      <c r="BI6"/>
      <c r="BJ6" s="3"/>
      <c r="BK6"/>
      <c r="BL6"/>
      <c r="BM6" s="3"/>
      <c r="BN6" s="3"/>
      <c r="BO6" s="3"/>
      <c r="BP6" s="3"/>
      <c r="BQ6" s="3"/>
      <c r="BR6" s="3"/>
    </row>
    <row r="7" spans="1:70" ht="15.75" customHeight="1" x14ac:dyDescent="0.3">
      <c r="A7" s="94"/>
      <c r="B7" s="233">
        <f>'Resumen Flex'!F7</f>
        <v>4200000</v>
      </c>
      <c r="C7" s="64"/>
      <c r="D7" s="62"/>
      <c r="E7" s="65">
        <v>1.7500000000000002E-2</v>
      </c>
      <c r="F7" s="66" t="s">
        <v>16</v>
      </c>
      <c r="G7" s="67">
        <f>IF('Resumen Flex'!U37=TRUE,((B7*1.75%*80%)*1.16),B7*1.75%*1.16)</f>
        <v>85260</v>
      </c>
      <c r="H7" s="63"/>
      <c r="I7" s="62"/>
      <c r="J7" s="225" t="s">
        <v>98</v>
      </c>
      <c r="K7" s="225"/>
      <c r="L7" s="221"/>
      <c r="M7" s="210" t="s">
        <v>124</v>
      </c>
      <c r="N7" s="221"/>
      <c r="O7" s="221"/>
      <c r="P7" s="62"/>
      <c r="Q7" s="169" t="s">
        <v>54</v>
      </c>
      <c r="R7" s="62"/>
      <c r="S7" s="109">
        <f>R103</f>
        <v>0</v>
      </c>
      <c r="T7" s="164"/>
      <c r="U7" s="164"/>
      <c r="V7" s="164"/>
      <c r="W7" s="164"/>
      <c r="X7" s="164"/>
      <c r="Y7" s="164"/>
      <c r="Z7" s="164"/>
      <c r="AA7" s="164"/>
      <c r="AB7" s="92"/>
      <c r="AC7" s="136"/>
      <c r="AD7" s="136"/>
      <c r="AE7" s="136"/>
      <c r="AF7" s="136"/>
      <c r="AG7"/>
      <c r="AH7"/>
      <c r="AI7"/>
      <c r="AJ7"/>
      <c r="AK7"/>
      <c r="AL7"/>
      <c r="BA7" s="7"/>
      <c r="BB7" s="3"/>
      <c r="BC7" s="3"/>
      <c r="BD7"/>
      <c r="BE7"/>
      <c r="BF7"/>
      <c r="BG7" s="7"/>
      <c r="BH7"/>
      <c r="BI7"/>
      <c r="BJ7" s="7"/>
      <c r="BK7"/>
      <c r="BL7"/>
      <c r="BM7" s="3"/>
      <c r="BN7" s="3"/>
      <c r="BO7" s="3"/>
      <c r="BP7" s="3"/>
      <c r="BQ7" s="3"/>
      <c r="BR7" s="3"/>
    </row>
    <row r="8" spans="1:70" ht="15.75" customHeight="1" x14ac:dyDescent="0.3">
      <c r="A8" s="94"/>
      <c r="B8" s="60"/>
      <c r="C8" s="60"/>
      <c r="D8" s="60"/>
      <c r="E8" s="68">
        <v>1.7500000000000002E-2</v>
      </c>
      <c r="F8" s="66" t="s">
        <v>17</v>
      </c>
      <c r="G8" s="69">
        <f>VLOOKUP(E17,$AG$39:$AH$99,2,0)*E8*1.16</f>
        <v>85260</v>
      </c>
      <c r="H8" s="70"/>
      <c r="I8" s="71"/>
      <c r="J8" s="207">
        <f>D39*3</f>
        <v>128233.69999999998</v>
      </c>
      <c r="K8" s="583" t="s">
        <v>105</v>
      </c>
      <c r="L8" s="213"/>
      <c r="M8" s="210" t="s">
        <v>119</v>
      </c>
      <c r="N8" s="236"/>
      <c r="O8" s="213"/>
      <c r="P8" s="62"/>
      <c r="Q8" s="169" t="s">
        <v>55</v>
      </c>
      <c r="R8" s="62"/>
      <c r="S8" s="109">
        <f>R104</f>
        <v>115</v>
      </c>
      <c r="T8" s="165"/>
      <c r="U8" s="165"/>
      <c r="V8" s="165"/>
      <c r="W8" s="165"/>
      <c r="X8" s="165"/>
      <c r="Y8" s="165"/>
      <c r="Z8" s="165"/>
      <c r="AA8" s="165"/>
      <c r="AB8" s="92"/>
      <c r="AC8" s="138"/>
      <c r="AD8" s="138"/>
      <c r="AE8" s="138"/>
      <c r="AF8" s="138"/>
      <c r="AG8"/>
      <c r="AH8"/>
      <c r="AI8"/>
      <c r="AJ8"/>
      <c r="AK8"/>
      <c r="AL8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7"/>
      <c r="BB8" s="3"/>
      <c r="BC8" s="3"/>
      <c r="BD8"/>
      <c r="BE8"/>
      <c r="BF8"/>
      <c r="BG8" s="7"/>
      <c r="BH8"/>
      <c r="BI8"/>
      <c r="BJ8" s="7"/>
      <c r="BK8"/>
      <c r="BL8"/>
      <c r="BM8" s="3"/>
      <c r="BN8" s="3"/>
      <c r="BO8" s="3"/>
      <c r="BP8" s="3"/>
      <c r="BQ8" s="3"/>
      <c r="BR8" s="3"/>
    </row>
    <row r="9" spans="1:70" ht="15.75" customHeight="1" x14ac:dyDescent="0.3">
      <c r="A9" s="94"/>
      <c r="B9" s="229" t="s">
        <v>6</v>
      </c>
      <c r="C9" s="60"/>
      <c r="D9" s="60"/>
      <c r="E9" s="230">
        <f>SUM(E7:E8)</f>
        <v>3.5000000000000003E-2</v>
      </c>
      <c r="G9" s="231">
        <f>SUM(G7:G8)</f>
        <v>170520</v>
      </c>
      <c r="H9" s="60"/>
      <c r="I9" s="73"/>
      <c r="J9" s="73"/>
      <c r="K9" s="583"/>
      <c r="L9" s="213"/>
      <c r="M9" s="210"/>
      <c r="N9" s="236"/>
      <c r="O9" s="213"/>
      <c r="P9" s="74"/>
      <c r="Q9" s="582" t="str">
        <f>IF(S6&gt;0,"Monto Ahorrado:","")</f>
        <v/>
      </c>
      <c r="R9" s="582"/>
      <c r="S9" s="166" t="str">
        <f>IF(S6&gt;0,(SUM(AM39:AM98,AO39:AO93)-SUM(D99,Q99)-S6),"")</f>
        <v/>
      </c>
      <c r="T9" s="62"/>
      <c r="U9" s="62"/>
      <c r="V9" s="62"/>
      <c r="W9" s="62"/>
      <c r="X9" s="62"/>
      <c r="Y9" s="62"/>
      <c r="Z9" s="62"/>
      <c r="AA9" s="62"/>
      <c r="AB9" s="92"/>
      <c r="AC9" s="132"/>
      <c r="AD9" s="132"/>
      <c r="AE9" s="132"/>
      <c r="AF9" s="132"/>
      <c r="AG9"/>
      <c r="AH9"/>
      <c r="AI9"/>
      <c r="AJ9"/>
      <c r="AK9"/>
      <c r="AL9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"/>
      <c r="BB9" s="3"/>
      <c r="BC9" s="3"/>
      <c r="BD9"/>
      <c r="BE9"/>
      <c r="BF9"/>
      <c r="BG9" s="3"/>
      <c r="BH9"/>
      <c r="BI9"/>
      <c r="BJ9" s="3"/>
      <c r="BK9"/>
      <c r="BL9"/>
      <c r="BM9" s="3"/>
      <c r="BN9" s="3"/>
      <c r="BO9" s="3"/>
      <c r="BP9" s="3"/>
      <c r="BQ9" s="3"/>
      <c r="BR9" s="3"/>
    </row>
    <row r="10" spans="1:70" ht="15.75" customHeight="1" x14ac:dyDescent="0.3">
      <c r="A10" s="94"/>
      <c r="B10" s="232">
        <v>180</v>
      </c>
      <c r="C10" s="60"/>
      <c r="D10" s="60"/>
      <c r="E10" s="60"/>
      <c r="F10" s="60"/>
      <c r="G10" s="60"/>
      <c r="H10" s="60"/>
      <c r="I10" s="60"/>
      <c r="J10" s="212"/>
      <c r="K10" s="314" t="s">
        <v>97</v>
      </c>
      <c r="L10" s="73"/>
      <c r="M10" s="73"/>
      <c r="N10" s="73"/>
      <c r="O10" s="73"/>
      <c r="P10" s="75"/>
      <c r="Q10" s="167" t="str">
        <f>IF(S6&gt;0,"Equivalente a las cuotas que redujeron de la última hacia atrás","")</f>
        <v/>
      </c>
      <c r="R10" s="73"/>
      <c r="S10" s="73"/>
      <c r="T10" s="62"/>
      <c r="U10" s="62"/>
      <c r="V10" s="62"/>
      <c r="W10" s="62"/>
      <c r="X10" s="62"/>
      <c r="Y10" s="62"/>
      <c r="Z10" s="62"/>
      <c r="AA10" s="62"/>
      <c r="AB10" s="92"/>
      <c r="AC10" s="132"/>
      <c r="AD10" s="132"/>
      <c r="AE10" s="132"/>
      <c r="AF10" s="132"/>
      <c r="AG10"/>
      <c r="AH10"/>
      <c r="AI10"/>
      <c r="AJ10"/>
      <c r="AK10"/>
      <c r="AL10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3"/>
      <c r="BB10" s="3"/>
      <c r="BC10" s="3"/>
      <c r="BD10"/>
      <c r="BE10"/>
      <c r="BF10"/>
      <c r="BG10" s="3"/>
      <c r="BH10"/>
      <c r="BI10"/>
      <c r="BJ10" s="3"/>
      <c r="BK10"/>
      <c r="BL10"/>
      <c r="BM10" s="3"/>
      <c r="BN10" s="3"/>
      <c r="BO10" s="3"/>
      <c r="BP10" s="3"/>
      <c r="BQ10" s="3"/>
      <c r="BR10" s="3"/>
    </row>
    <row r="11" spans="1:70" ht="15.75" customHeight="1" x14ac:dyDescent="0.25">
      <c r="A11" s="94"/>
      <c r="B11" s="60"/>
      <c r="C11" s="60"/>
      <c r="D11" s="60"/>
      <c r="E11" s="60"/>
      <c r="F11" s="60"/>
      <c r="G11" s="60"/>
      <c r="H11" s="60"/>
      <c r="I11" s="60"/>
      <c r="J11" s="73"/>
      <c r="K11" s="73"/>
      <c r="L11" s="73"/>
      <c r="M11" s="73"/>
      <c r="N11" s="73"/>
      <c r="O11" s="73"/>
      <c r="P11" s="75"/>
      <c r="Q11" s="62"/>
      <c r="R11" s="62"/>
      <c r="S11" s="62"/>
      <c r="T11" s="168"/>
      <c r="U11" s="168"/>
      <c r="V11" s="168"/>
      <c r="W11" s="168"/>
      <c r="X11" s="168"/>
      <c r="Y11" s="168"/>
      <c r="Z11" s="168"/>
      <c r="AA11" s="168"/>
      <c r="AB11" s="92"/>
      <c r="AC11" s="132"/>
      <c r="AD11" s="132"/>
      <c r="AE11" s="132"/>
      <c r="AF11" s="132"/>
      <c r="AG11"/>
      <c r="AH11"/>
      <c r="AI11"/>
      <c r="AJ11"/>
      <c r="AK11"/>
      <c r="AL11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3"/>
      <c r="BB11" s="3"/>
      <c r="BC11" s="3"/>
      <c r="BD11"/>
      <c r="BE11"/>
      <c r="BF11"/>
      <c r="BG11" s="3"/>
      <c r="BH11"/>
      <c r="BI11"/>
      <c r="BJ11" s="3"/>
      <c r="BK11"/>
      <c r="BL11"/>
      <c r="BM11" s="3"/>
      <c r="BN11" s="3"/>
      <c r="BO11" s="3"/>
      <c r="BP11" s="3"/>
      <c r="BQ11" s="3"/>
      <c r="BR11" s="3"/>
    </row>
    <row r="12" spans="1:70" ht="15.75" customHeight="1" x14ac:dyDescent="0.25">
      <c r="A12" s="94"/>
      <c r="B12" s="60"/>
      <c r="C12" s="60"/>
      <c r="D12" s="60"/>
      <c r="E12" s="60"/>
      <c r="F12" s="60"/>
      <c r="G12" s="60"/>
      <c r="H12" s="60"/>
      <c r="I12" s="60"/>
      <c r="J12" s="211"/>
      <c r="K12" s="73"/>
      <c r="L12" s="73"/>
      <c r="M12" s="73"/>
      <c r="N12" s="73"/>
      <c r="O12" s="73"/>
      <c r="P12" s="75"/>
      <c r="Q12" s="62"/>
      <c r="R12" s="62"/>
      <c r="S12" s="62"/>
      <c r="T12" s="168"/>
      <c r="U12" s="168"/>
      <c r="V12" s="168"/>
      <c r="W12" s="168"/>
      <c r="X12" s="168"/>
      <c r="Y12" s="168"/>
      <c r="Z12" s="168"/>
      <c r="AA12" s="168"/>
      <c r="AB12" s="91"/>
      <c r="AC12" s="132"/>
      <c r="AD12" s="132"/>
      <c r="AE12" s="132"/>
      <c r="AF12" s="132"/>
      <c r="AG12"/>
      <c r="AH12"/>
      <c r="AI12"/>
      <c r="AJ12"/>
      <c r="AK12"/>
      <c r="AL12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3"/>
      <c r="BB12" s="3"/>
      <c r="BC12" s="3"/>
      <c r="BD12"/>
      <c r="BE12"/>
      <c r="BF12"/>
      <c r="BG12" s="3"/>
      <c r="BH12"/>
      <c r="BI12"/>
      <c r="BJ12" s="3"/>
      <c r="BK12"/>
      <c r="BL12"/>
      <c r="BM12" s="3"/>
      <c r="BN12" s="3"/>
      <c r="BO12" s="3"/>
      <c r="BP12" s="3"/>
      <c r="BQ12" s="3"/>
      <c r="BR12" s="3"/>
    </row>
    <row r="13" spans="1:70" ht="18" thickBot="1" x14ac:dyDescent="0.35">
      <c r="A13" s="94"/>
      <c r="B13" s="219" t="s">
        <v>140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61"/>
      <c r="M13" s="61"/>
      <c r="N13" s="61"/>
      <c r="O13" s="345"/>
      <c r="P13" s="90"/>
      <c r="Q13" s="62"/>
      <c r="R13" s="62"/>
      <c r="S13" s="62"/>
      <c r="T13" s="109"/>
      <c r="U13" s="109"/>
      <c r="V13" s="110"/>
      <c r="W13" s="110"/>
      <c r="X13" s="110"/>
      <c r="Y13" s="110"/>
      <c r="Z13" s="110"/>
      <c r="AA13" s="110"/>
      <c r="AB13" s="91"/>
      <c r="AC13" s="136"/>
      <c r="AD13" s="136"/>
      <c r="AE13" s="132"/>
      <c r="AF13" s="132"/>
      <c r="AG13"/>
      <c r="AH13"/>
      <c r="AI13"/>
      <c r="AJ13"/>
      <c r="AK13"/>
      <c r="AL13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3"/>
      <c r="BB13" s="3"/>
      <c r="BC13" s="3"/>
      <c r="BD13"/>
      <c r="BE13"/>
      <c r="BF13"/>
      <c r="BG13" s="3"/>
      <c r="BH13"/>
      <c r="BI13"/>
      <c r="BJ13" s="3"/>
      <c r="BK13"/>
      <c r="BL13"/>
      <c r="BM13" s="3"/>
      <c r="BN13" s="3"/>
      <c r="BO13" s="3"/>
      <c r="BP13" s="3"/>
      <c r="BQ13" s="3"/>
      <c r="BR13" s="3"/>
    </row>
    <row r="14" spans="1:70" ht="15.75" customHeight="1" thickTop="1" x14ac:dyDescent="0.25">
      <c r="A14" s="94"/>
      <c r="B14" s="60"/>
      <c r="C14" s="60"/>
      <c r="D14" s="62"/>
      <c r="E14" s="104"/>
      <c r="F14" s="104"/>
      <c r="G14" s="104"/>
      <c r="H14" s="104"/>
      <c r="I14" s="105"/>
      <c r="J14" s="106"/>
      <c r="K14" s="107"/>
      <c r="L14" s="107"/>
      <c r="M14" s="107"/>
      <c r="N14" s="107"/>
      <c r="O14" s="107"/>
      <c r="P14" s="62"/>
      <c r="Q14" s="586" t="s">
        <v>89</v>
      </c>
      <c r="R14" s="586"/>
      <c r="S14" s="586"/>
      <c r="T14" s="586"/>
      <c r="U14" s="351"/>
      <c r="V14" s="109"/>
      <c r="W14" s="109"/>
      <c r="X14" s="109"/>
      <c r="Y14" s="109"/>
      <c r="Z14" s="109"/>
      <c r="AA14" s="109"/>
      <c r="AB14" s="100"/>
      <c r="AC14" s="136"/>
      <c r="AD14" s="136"/>
      <c r="AE14" s="132"/>
      <c r="AF14" s="132"/>
      <c r="AG14"/>
      <c r="AH14"/>
      <c r="AI14"/>
      <c r="AJ14"/>
      <c r="AK14"/>
      <c r="AL14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11"/>
      <c r="BC14" s="3"/>
      <c r="BD14"/>
      <c r="BE14"/>
      <c r="BF14"/>
      <c r="BG14" s="3"/>
      <c r="BH14"/>
      <c r="BI14"/>
      <c r="BJ14" s="3"/>
      <c r="BK14"/>
      <c r="BL14"/>
      <c r="BM14" s="3"/>
    </row>
    <row r="15" spans="1:70" ht="15.75" customHeight="1" x14ac:dyDescent="0.3">
      <c r="A15" s="94"/>
      <c r="B15" s="60"/>
      <c r="C15" s="60"/>
      <c r="D15" s="60"/>
      <c r="E15" s="60"/>
      <c r="F15" s="60"/>
      <c r="G15" s="288">
        <v>1.4E-3</v>
      </c>
      <c r="H15" s="234"/>
      <c r="I15" s="289">
        <f>IF('Resumen Flex'!U38=TRUE,0.07%,IF('Resumen Flex'!U37=TRUE,0.04%,0.05%))</f>
        <v>5.0000000000000001E-4</v>
      </c>
      <c r="J15" s="290">
        <f>IF('Resumen Flex'!U36=TRUE,0,0.02755%)</f>
        <v>2.7550000000000003E-4</v>
      </c>
      <c r="K15" s="73"/>
      <c r="L15" s="73"/>
      <c r="M15" s="73"/>
      <c r="N15" s="73"/>
      <c r="O15" s="73"/>
      <c r="P15" s="74"/>
      <c r="Q15" s="586" t="s">
        <v>94</v>
      </c>
      <c r="R15" s="586"/>
      <c r="S15" s="586"/>
      <c r="T15" s="586"/>
      <c r="U15" s="351"/>
      <c r="V15" s="351"/>
      <c r="W15" s="351"/>
      <c r="X15" s="351"/>
      <c r="Y15" s="351"/>
      <c r="Z15" s="351"/>
      <c r="AA15" s="351"/>
      <c r="AB15" s="93"/>
      <c r="AC15" s="136"/>
      <c r="AD15" s="136"/>
      <c r="AE15" s="132"/>
      <c r="AF15" s="132"/>
      <c r="AG15"/>
      <c r="AH15"/>
      <c r="AI15"/>
      <c r="AJ15"/>
      <c r="AK15"/>
      <c r="AL15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/>
      <c r="BE15"/>
      <c r="BF15"/>
      <c r="BG15" s="3"/>
      <c r="BH15"/>
      <c r="BI15"/>
      <c r="BJ15" s="3"/>
      <c r="BK15"/>
      <c r="BL15"/>
      <c r="BM15" s="3"/>
      <c r="BN15" s="3"/>
      <c r="BO15" s="3"/>
      <c r="BP15" s="3"/>
      <c r="BQ15" s="3"/>
      <c r="BR15" s="3"/>
    </row>
    <row r="16" spans="1:70" ht="15.75" customHeight="1" x14ac:dyDescent="0.3">
      <c r="A16" s="94"/>
      <c r="B16" s="242" t="s">
        <v>101</v>
      </c>
      <c r="C16" s="243"/>
      <c r="D16" s="243"/>
      <c r="E16" s="237" t="s">
        <v>47</v>
      </c>
      <c r="F16" s="237" t="s">
        <v>18</v>
      </c>
      <c r="G16" s="238" t="s">
        <v>102</v>
      </c>
      <c r="H16" s="238" t="s">
        <v>19</v>
      </c>
      <c r="I16" s="238" t="s">
        <v>99</v>
      </c>
      <c r="J16" s="291" t="s">
        <v>100</v>
      </c>
      <c r="K16" s="241" t="s">
        <v>4</v>
      </c>
      <c r="L16" s="222"/>
      <c r="M16" s="589" t="s">
        <v>57</v>
      </c>
      <c r="N16" s="589"/>
      <c r="O16" s="60"/>
      <c r="P16" s="74"/>
      <c r="Q16" s="584" t="s">
        <v>72</v>
      </c>
      <c r="R16" s="584"/>
      <c r="S16" s="584"/>
      <c r="T16" s="584"/>
      <c r="U16" s="351"/>
      <c r="V16" s="351"/>
      <c r="W16" s="351"/>
      <c r="X16" s="351"/>
      <c r="Y16" s="351"/>
      <c r="Z16" s="351"/>
      <c r="AA16" s="351"/>
      <c r="AB16" s="93"/>
      <c r="AC16" s="132"/>
      <c r="AD16" s="132"/>
      <c r="AE16" s="139"/>
      <c r="AF16" s="139"/>
      <c r="AG16"/>
      <c r="AH16"/>
      <c r="AI16"/>
      <c r="AJ16"/>
      <c r="AK16"/>
      <c r="AL16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"/>
      <c r="BD16" s="98"/>
      <c r="BG16" s="3"/>
      <c r="BJ16" s="3"/>
      <c r="BM16" s="3"/>
      <c r="BQ16" s="98"/>
    </row>
    <row r="17" spans="1:74" ht="15.75" customHeight="1" x14ac:dyDescent="0.25">
      <c r="A17" s="94"/>
      <c r="B17" s="253" t="s">
        <v>93</v>
      </c>
      <c r="C17" s="72"/>
      <c r="D17" s="76"/>
      <c r="E17" s="252">
        <f>'Resumen Flex'!B23</f>
        <v>1</v>
      </c>
      <c r="F17" s="158">
        <f>VLOOKUP(E17,BT39:BY98,2,0)</f>
        <v>23333.333333333332</v>
      </c>
      <c r="G17" s="159">
        <f>VLOOKUP(E17,BT39:BY98,3,0)</f>
        <v>5880</v>
      </c>
      <c r="H17" s="158">
        <f>+G17*0.16</f>
        <v>940.80000000000007</v>
      </c>
      <c r="I17" s="160">
        <f>VLOOKUP(E17,BT39:BY98,5,0)</f>
        <v>2100</v>
      </c>
      <c r="J17" s="127">
        <v>0</v>
      </c>
      <c r="K17" s="239">
        <f>SUM(F17:I17)</f>
        <v>32254.133333333331</v>
      </c>
      <c r="L17" s="223"/>
      <c r="M17" s="75" t="s">
        <v>51</v>
      </c>
      <c r="N17" s="62"/>
      <c r="O17" s="163">
        <f>B7</f>
        <v>4200000</v>
      </c>
      <c r="P17" s="90"/>
      <c r="Q17" s="170" t="s">
        <v>84</v>
      </c>
      <c r="R17" s="170"/>
      <c r="S17" s="170" t="s">
        <v>85</v>
      </c>
      <c r="T17" s="170" t="s">
        <v>86</v>
      </c>
      <c r="U17" s="170"/>
      <c r="V17" s="351"/>
      <c r="W17" s="351"/>
      <c r="X17" s="351"/>
      <c r="Y17" s="351"/>
      <c r="Z17" s="351"/>
      <c r="AA17" s="351"/>
      <c r="AB17" s="93"/>
      <c r="AC17" s="132"/>
      <c r="AD17" s="132"/>
      <c r="AE17" s="140"/>
      <c r="AF17" s="140"/>
      <c r="AG17"/>
      <c r="AH17"/>
      <c r="AI17"/>
      <c r="AJ17"/>
      <c r="AK17"/>
      <c r="AL17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"/>
      <c r="BG17" s="3"/>
      <c r="BJ17" s="3"/>
      <c r="BM17" s="3"/>
      <c r="BQ17" s="3"/>
    </row>
    <row r="18" spans="1:74" ht="15.75" customHeight="1" x14ac:dyDescent="0.25">
      <c r="A18" s="94"/>
      <c r="B18" s="253" t="s">
        <v>132</v>
      </c>
      <c r="C18" s="72"/>
      <c r="D18" s="101"/>
      <c r="E18" s="181">
        <f>65-E17</f>
        <v>64</v>
      </c>
      <c r="F18" s="161">
        <f>IF(E17&gt;=0,VLOOKUP(E17,BM39:BR98,2,0)*E18," ")</f>
        <v>1493333.3333333333</v>
      </c>
      <c r="G18" s="369">
        <f>IF(E17&lt;=2,0,(VLOOKUP(E17,BM39:BO98,3,0)/2)*E18)</f>
        <v>0</v>
      </c>
      <c r="H18" s="162">
        <f>G18*0.16</f>
        <v>0</v>
      </c>
      <c r="I18" s="162"/>
      <c r="J18" s="128"/>
      <c r="K18" s="240">
        <f>SUM(F18:I18)</f>
        <v>1493333.3333333333</v>
      </c>
      <c r="L18" s="223"/>
      <c r="M18" s="75" t="s">
        <v>52</v>
      </c>
      <c r="N18" s="62"/>
      <c r="O18" s="163">
        <f>B21</f>
        <v>4200000</v>
      </c>
      <c r="P18" s="90"/>
      <c r="Q18" s="346" t="s">
        <v>134</v>
      </c>
      <c r="R18" s="171"/>
      <c r="S18" s="172">
        <v>0.05</v>
      </c>
      <c r="T18" s="173">
        <f>IF(AJ22=TRUE,BH26,0)</f>
        <v>0</v>
      </c>
      <c r="U18" s="352"/>
      <c r="V18" s="170"/>
      <c r="W18" s="170"/>
      <c r="X18" s="170"/>
      <c r="Y18" s="170"/>
      <c r="Z18" s="170"/>
      <c r="AA18" s="170"/>
      <c r="AB18" s="93"/>
      <c r="AC18" s="136"/>
      <c r="AE18" s="140"/>
      <c r="AF18" s="140"/>
      <c r="AG18"/>
      <c r="AH18"/>
      <c r="AI18"/>
      <c r="AJ18"/>
      <c r="AK18"/>
      <c r="AL18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"/>
      <c r="BG18" s="3"/>
      <c r="BJ18" s="3"/>
      <c r="BM18" s="3"/>
    </row>
    <row r="19" spans="1:74" ht="15.75" customHeight="1" x14ac:dyDescent="0.3">
      <c r="A19" s="94"/>
      <c r="B19" s="62"/>
      <c r="C19" s="71"/>
      <c r="D19" s="77"/>
      <c r="E19" s="251">
        <f>SUM(E17:E18)</f>
        <v>65</v>
      </c>
      <c r="F19" s="78">
        <f t="shared" ref="F19:J19" si="0">SUM(F17:F18)</f>
        <v>1516666.6666666665</v>
      </c>
      <c r="G19" s="78">
        <f t="shared" si="0"/>
        <v>5880</v>
      </c>
      <c r="H19" s="78">
        <f t="shared" si="0"/>
        <v>940.80000000000007</v>
      </c>
      <c r="I19" s="78">
        <f t="shared" si="0"/>
        <v>2100</v>
      </c>
      <c r="J19" s="129">
        <f t="shared" si="0"/>
        <v>0</v>
      </c>
      <c r="K19" s="250">
        <f>SUM(K17:K18)</f>
        <v>1525587.4666666666</v>
      </c>
      <c r="L19" s="224"/>
      <c r="M19" s="75" t="s">
        <v>63</v>
      </c>
      <c r="N19" s="62"/>
      <c r="O19" s="164">
        <f>E19</f>
        <v>65</v>
      </c>
      <c r="P19" s="80"/>
      <c r="Q19" s="346" t="s">
        <v>135</v>
      </c>
      <c r="R19" s="171"/>
      <c r="S19" s="174">
        <v>2.5000000000000001E-2</v>
      </c>
      <c r="T19" s="173">
        <f>IF(AJ23=AJ22,0,IF(AJ23=TRUE,BH27,0))</f>
        <v>0</v>
      </c>
      <c r="U19" s="352"/>
      <c r="V19" s="352"/>
      <c r="W19" s="352"/>
      <c r="X19" s="352"/>
      <c r="Y19" s="352"/>
      <c r="Z19" s="352"/>
      <c r="AA19" s="352"/>
      <c r="AB19" s="93"/>
      <c r="AC19" s="136"/>
      <c r="AE19" s="136"/>
      <c r="AF19" s="136"/>
      <c r="AG19" s="99">
        <f>IF(E17&gt;2,K19-BR30-BU30,VLOOKUP(E17,$BM$39:$BN$98,2,0)*E18+BU30-K19)</f>
        <v>0</v>
      </c>
      <c r="AI19"/>
      <c r="AJ19"/>
      <c r="AK19"/>
      <c r="AL19" s="33"/>
      <c r="AM19" s="33"/>
      <c r="AN19" s="33"/>
      <c r="AO19" s="33"/>
      <c r="AP19" s="11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"/>
      <c r="BG19" s="3"/>
      <c r="BJ19" s="3"/>
      <c r="BM19" s="3"/>
    </row>
    <row r="20" spans="1:74" ht="15.75" customHeight="1" x14ac:dyDescent="0.3">
      <c r="A20" s="94"/>
      <c r="B20" s="244" t="s">
        <v>50</v>
      </c>
      <c r="C20" s="245"/>
      <c r="D20" s="66"/>
      <c r="E20" s="66"/>
      <c r="F20" s="62"/>
      <c r="G20" s="62"/>
      <c r="H20" s="62"/>
      <c r="I20" s="79"/>
      <c r="J20" s="79"/>
      <c r="K20" s="80"/>
      <c r="L20" s="80"/>
      <c r="M20" s="590" t="str">
        <f>IF(O18&gt;O17,"Ganancia por actualización:","")</f>
        <v/>
      </c>
      <c r="N20" s="590"/>
      <c r="O20" s="165" t="str">
        <f>IF(O18&gt;O17,O18-O17,"")</f>
        <v/>
      </c>
      <c r="P20" s="81"/>
      <c r="Q20" s="346" t="s">
        <v>66</v>
      </c>
      <c r="R20" s="171"/>
      <c r="S20" s="172">
        <v>0.05</v>
      </c>
      <c r="T20" s="173">
        <f>IF(AH24=TRUE,BH28,0)</f>
        <v>0</v>
      </c>
      <c r="U20" s="352"/>
      <c r="V20" s="352"/>
      <c r="W20" s="352"/>
      <c r="X20" s="352"/>
      <c r="Y20" s="352"/>
      <c r="Z20" s="352"/>
      <c r="AA20" s="352"/>
      <c r="AB20" s="93"/>
      <c r="AE20" s="132"/>
      <c r="AF20" s="132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G20" s="3"/>
      <c r="BJ20" s="3"/>
      <c r="BM20" s="3"/>
    </row>
    <row r="21" spans="1:74" ht="15.75" customHeight="1" x14ac:dyDescent="0.3">
      <c r="A21" s="94"/>
      <c r="B21" s="246">
        <f>VLOOKUP(E17,$AG$39:$AH$99,2,0)</f>
        <v>4200000</v>
      </c>
      <c r="C21" s="60"/>
      <c r="D21" s="60"/>
      <c r="E21" s="587" t="str">
        <f>IF(E17&lt;=2,"** Descuento de 100% en Cuotas de Administración en los Anticipados pagados dentro de los primeros 60 días de contratar.","** La Cuota de Administración tiene una reducción de 50% en Cuotas Anticipadas de acuerdo a contrato en etapa INTEGRANTE.")</f>
        <v>** Descuento de 100% en Cuotas de Administración en los Anticipados pagados dentro de los primeros 60 días de contratar.</v>
      </c>
      <c r="F21" s="587"/>
      <c r="G21" s="587"/>
      <c r="H21" s="588"/>
      <c r="I21" s="592" t="s">
        <v>49</v>
      </c>
      <c r="J21" s="124" t="s">
        <v>15</v>
      </c>
      <c r="K21" s="125">
        <f>K17/E17</f>
        <v>32254.133333333331</v>
      </c>
      <c r="L21" s="107"/>
      <c r="M21" s="107"/>
      <c r="N21" s="107"/>
      <c r="O21" s="107"/>
      <c r="P21" s="73"/>
      <c r="Q21" s="346" t="s">
        <v>136</v>
      </c>
      <c r="R21" s="254">
        <v>1</v>
      </c>
      <c r="S21" s="172">
        <f>R21*5%</f>
        <v>0.05</v>
      </c>
      <c r="T21" s="173">
        <f>IF(AH25=TRUE,BH29*R21,0)</f>
        <v>0</v>
      </c>
      <c r="U21" s="352"/>
      <c r="V21" s="352"/>
      <c r="W21" s="352"/>
      <c r="X21" s="352"/>
      <c r="Y21" s="352"/>
      <c r="Z21" s="352"/>
      <c r="AA21" s="352"/>
      <c r="AB21" s="100"/>
      <c r="AE21" s="132"/>
      <c r="AF21" s="132"/>
      <c r="AG21" s="3"/>
      <c r="AH21" s="183" t="s">
        <v>71</v>
      </c>
      <c r="AI21" s="184"/>
      <c r="AJ21" s="185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E21"/>
      <c r="BF21"/>
      <c r="BG21" s="3"/>
      <c r="BH21"/>
      <c r="BI21"/>
      <c r="BJ21" s="3"/>
      <c r="BK21"/>
      <c r="BL21"/>
      <c r="BM21" s="3"/>
    </row>
    <row r="22" spans="1:74" ht="15.75" customHeight="1" x14ac:dyDescent="0.25">
      <c r="A22" s="94"/>
      <c r="B22" s="60"/>
      <c r="C22" s="60"/>
      <c r="D22" s="62"/>
      <c r="E22" s="587"/>
      <c r="F22" s="587"/>
      <c r="G22" s="587"/>
      <c r="H22" s="588"/>
      <c r="I22" s="593"/>
      <c r="J22" s="102" t="s">
        <v>56</v>
      </c>
      <c r="K22" s="103">
        <f>K18/E18</f>
        <v>23333.333333333332</v>
      </c>
      <c r="L22" s="107"/>
      <c r="M22" s="107"/>
      <c r="N22" s="107"/>
      <c r="O22" s="107"/>
      <c r="P22" s="73"/>
      <c r="Q22" s="346" t="s">
        <v>88</v>
      </c>
      <c r="R22" s="171"/>
      <c r="S22" s="172">
        <v>0.05</v>
      </c>
      <c r="T22" s="173">
        <f>IF(AH26=TRUE,BH30,0)</f>
        <v>0</v>
      </c>
      <c r="U22" s="352"/>
      <c r="V22" s="352"/>
      <c r="W22" s="352"/>
      <c r="X22" s="352"/>
      <c r="Y22" s="352"/>
      <c r="Z22" s="352"/>
      <c r="AA22" s="352"/>
      <c r="AB22" s="100"/>
      <c r="AC22" s="136"/>
      <c r="AE22" s="136"/>
      <c r="AF22" s="136"/>
      <c r="AH22" s="186" t="b">
        <f>'Resumen Flex'!U29</f>
        <v>0</v>
      </c>
      <c r="AI22" s="182"/>
      <c r="AJ22" s="187" t="b">
        <f>IF(AH23=TRUE,FALSE,IF(AH22=TRUE,TRUE,FALSE))</f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E22"/>
      <c r="BF22"/>
      <c r="BG22" s="3"/>
      <c r="BH22"/>
      <c r="BI22"/>
      <c r="BJ22" s="3"/>
      <c r="BK22"/>
      <c r="BL22"/>
      <c r="BM22" s="3"/>
    </row>
    <row r="23" spans="1:74" ht="15.75" customHeight="1" x14ac:dyDescent="0.25">
      <c r="A23" s="94"/>
      <c r="B23" s="123"/>
      <c r="C23" s="60"/>
      <c r="D23" s="62"/>
      <c r="E23" s="255" t="s">
        <v>90</v>
      </c>
      <c r="F23" s="256"/>
      <c r="G23" s="256">
        <f>IF(E17&lt;=2,B7*G15/2*E18,0)</f>
        <v>188160</v>
      </c>
      <c r="H23" s="257"/>
      <c r="I23" s="105"/>
      <c r="J23" s="106"/>
      <c r="K23" s="107"/>
      <c r="L23" s="107"/>
      <c r="M23" s="107"/>
      <c r="N23" s="107"/>
      <c r="O23" s="107"/>
      <c r="P23" s="62"/>
      <c r="Q23" s="62"/>
      <c r="R23" s="62"/>
      <c r="S23" s="62"/>
      <c r="T23" s="201">
        <f>SUM(T18:T22)</f>
        <v>0</v>
      </c>
      <c r="U23" s="353"/>
      <c r="V23" s="352"/>
      <c r="W23" s="352"/>
      <c r="X23" s="352"/>
      <c r="Y23" s="352"/>
      <c r="Z23" s="352"/>
      <c r="AA23" s="352"/>
      <c r="AB23" s="100"/>
      <c r="AC23" s="136"/>
      <c r="AE23" s="136"/>
      <c r="AF23" s="136"/>
      <c r="AG23" s="3"/>
      <c r="AH23" s="186" t="b">
        <v>0</v>
      </c>
      <c r="AI23" s="182"/>
      <c r="AJ23" s="187" t="b">
        <f>IF(AH22=TRUE,FALSE,IF(AH23=TRUE,TRUE,FALSE))</f>
        <v>0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98"/>
      <c r="BA23" s="333"/>
      <c r="BB23" s="333"/>
      <c r="BC23" s="319"/>
      <c r="BE23" s="333"/>
      <c r="BF23" s="320"/>
      <c r="BG23" s="320"/>
      <c r="BH23" s="320"/>
      <c r="BI23"/>
      <c r="BJ23"/>
      <c r="BK23"/>
      <c r="BL23"/>
      <c r="BM23" s="3"/>
    </row>
    <row r="24" spans="1:74" ht="15.75" customHeight="1" x14ac:dyDescent="0.25">
      <c r="A24" s="94"/>
      <c r="B24" s="78"/>
      <c r="C24" s="60"/>
      <c r="D24" s="60"/>
      <c r="E24" s="114"/>
      <c r="F24" s="114"/>
      <c r="G24" s="180"/>
      <c r="H24" s="114"/>
      <c r="I24" s="105"/>
      <c r="J24" s="106"/>
      <c r="K24" s="107"/>
      <c r="L24" s="107"/>
      <c r="M24" s="107"/>
      <c r="N24" s="107"/>
      <c r="O24" s="107"/>
      <c r="P24" s="73"/>
      <c r="Q24" s="584" t="s">
        <v>73</v>
      </c>
      <c r="R24" s="584"/>
      <c r="S24" s="584"/>
      <c r="T24" s="584"/>
      <c r="U24" s="351"/>
      <c r="V24" s="353"/>
      <c r="W24" s="353"/>
      <c r="X24" s="353"/>
      <c r="Y24" s="353"/>
      <c r="Z24" s="353"/>
      <c r="AA24" s="353"/>
      <c r="AB24" s="100"/>
      <c r="AC24" s="132"/>
      <c r="AD24" s="132"/>
      <c r="AE24" s="136"/>
      <c r="AF24" s="136"/>
      <c r="AG24" s="3"/>
      <c r="AH24" s="186" t="b">
        <f>'Resumen Flex'!U30</f>
        <v>0</v>
      </c>
      <c r="AI24" s="182"/>
      <c r="AJ24" s="188"/>
      <c r="AK24" s="3"/>
      <c r="AL24" s="3"/>
      <c r="AM24" s="97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98"/>
      <c r="AZ24" s="333"/>
      <c r="BA24" s="333"/>
      <c r="BB24" s="333"/>
      <c r="BC24" s="98"/>
      <c r="BD24" s="333"/>
      <c r="BE24" s="333"/>
      <c r="BF24" s="320"/>
      <c r="BG24" s="320"/>
      <c r="BH24" s="320"/>
      <c r="BI24"/>
      <c r="BJ24"/>
      <c r="BK24"/>
      <c r="BL24"/>
      <c r="BM24" s="3"/>
    </row>
    <row r="25" spans="1:74" ht="15.75" customHeight="1" x14ac:dyDescent="0.25">
      <c r="A25" s="94"/>
      <c r="B25" s="60"/>
      <c r="C25" s="60"/>
      <c r="D25" s="60"/>
      <c r="E25" s="114"/>
      <c r="F25" s="114"/>
      <c r="G25" s="114"/>
      <c r="H25" s="114"/>
      <c r="I25" s="105"/>
      <c r="J25" s="106"/>
      <c r="K25" s="72"/>
      <c r="L25" s="72"/>
      <c r="M25" s="72"/>
      <c r="N25" s="72"/>
      <c r="O25" s="72"/>
      <c r="P25" s="73"/>
      <c r="Q25" s="177" t="s">
        <v>125</v>
      </c>
      <c r="R25" s="176"/>
      <c r="S25" s="176"/>
      <c r="T25" s="176"/>
      <c r="U25" s="176"/>
      <c r="V25" s="351"/>
      <c r="W25" s="351"/>
      <c r="X25" s="351"/>
      <c r="Y25" s="351"/>
      <c r="Z25" s="351"/>
      <c r="AA25" s="351"/>
      <c r="AB25" s="100"/>
      <c r="AC25" s="133"/>
      <c r="AD25" s="133"/>
      <c r="AE25" s="136"/>
      <c r="AF25" s="136"/>
      <c r="AG25" s="3"/>
      <c r="AH25" s="186" t="b">
        <v>0</v>
      </c>
      <c r="AI25" s="182"/>
      <c r="AJ25" s="188"/>
      <c r="AK25" s="3"/>
      <c r="AL25" s="3"/>
      <c r="AM25" s="118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98"/>
      <c r="AZ25" s="334" t="s">
        <v>77</v>
      </c>
      <c r="BD25" s="335" t="s">
        <v>78</v>
      </c>
      <c r="BI25"/>
      <c r="BJ25" s="203"/>
      <c r="BK25" s="202"/>
      <c r="BL25"/>
      <c r="BM25" s="3"/>
    </row>
    <row r="26" spans="1:74" ht="18" thickBot="1" x14ac:dyDescent="0.35">
      <c r="A26" s="94"/>
      <c r="B26" s="219" t="s">
        <v>131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61"/>
      <c r="N26" s="61"/>
      <c r="O26" s="61"/>
      <c r="P26" s="73"/>
      <c r="Q26" s="218" t="s">
        <v>68</v>
      </c>
      <c r="R26" s="178"/>
      <c r="S26" s="172">
        <v>0.1</v>
      </c>
      <c r="T26" s="175"/>
      <c r="U26" s="175"/>
      <c r="V26" s="176"/>
      <c r="W26" s="176"/>
      <c r="X26" s="176"/>
      <c r="Y26" s="176"/>
      <c r="Z26" s="176"/>
      <c r="AA26" s="176"/>
      <c r="AB26" s="100"/>
      <c r="AC26" s="132"/>
      <c r="AD26" s="132"/>
      <c r="AE26" s="136"/>
      <c r="AF26" s="136"/>
      <c r="AG26" s="3"/>
      <c r="AH26" s="186" t="b">
        <v>0</v>
      </c>
      <c r="AI26" s="182"/>
      <c r="AJ26" s="188"/>
      <c r="AK26" s="3"/>
      <c r="AL26" s="7"/>
      <c r="AM26" s="118"/>
      <c r="AN26" s="3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327"/>
      <c r="AZ26" s="328"/>
      <c r="BA26" s="322" t="s">
        <v>65</v>
      </c>
      <c r="BB26" s="323">
        <f>IF(AJ22=TRUE,5%,0)</f>
        <v>0</v>
      </c>
      <c r="BC26" s="98"/>
      <c r="BD26" s="324" t="s">
        <v>87</v>
      </c>
      <c r="BE26" s="321"/>
      <c r="BF26" s="320"/>
      <c r="BG26" s="325">
        <v>0.05</v>
      </c>
      <c r="BH26" s="326">
        <f>SUM(BH39:BH158)</f>
        <v>46707.721976024412</v>
      </c>
      <c r="BI26"/>
      <c r="BJ26" s="205"/>
      <c r="BK26" s="202"/>
      <c r="BL26"/>
      <c r="BM26" s="3"/>
    </row>
    <row r="27" spans="1:74" ht="15.75" customHeight="1" thickTop="1" x14ac:dyDescent="0.25">
      <c r="A27" s="94"/>
      <c r="B27" s="60"/>
      <c r="C27" s="60"/>
      <c r="D27" s="62"/>
      <c r="E27" s="62"/>
      <c r="F27" s="65"/>
      <c r="G27" s="60"/>
      <c r="H27" s="65"/>
      <c r="I27" s="60"/>
      <c r="J27" s="60"/>
      <c r="K27" s="73"/>
      <c r="L27" s="73"/>
      <c r="M27" s="73"/>
      <c r="N27" s="73"/>
      <c r="O27" s="73"/>
      <c r="P27" s="63"/>
      <c r="Q27" s="218" t="s">
        <v>69</v>
      </c>
      <c r="R27" s="178"/>
      <c r="S27" s="172">
        <v>0.2</v>
      </c>
      <c r="T27" s="206">
        <f>IF(AH27=TRUE,BK36,0)</f>
        <v>0</v>
      </c>
      <c r="U27" s="353"/>
      <c r="V27" s="175"/>
      <c r="W27" s="175"/>
      <c r="X27" s="175"/>
      <c r="Y27" s="175"/>
      <c r="Z27" s="175"/>
      <c r="AA27" s="175"/>
      <c r="AB27" s="100"/>
      <c r="AC27" s="132"/>
      <c r="AD27" s="132"/>
      <c r="AE27" s="136"/>
      <c r="AF27" s="136"/>
      <c r="AG27" s="7"/>
      <c r="AH27" s="189" t="b">
        <f>'Resumen Flex'!U42</f>
        <v>0</v>
      </c>
      <c r="AI27" s="190"/>
      <c r="AJ27" s="191"/>
      <c r="AK27" s="3"/>
      <c r="AL27" s="3"/>
      <c r="AM27" s="119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98"/>
      <c r="AZ27" s="321"/>
      <c r="BA27" s="322" t="s">
        <v>64</v>
      </c>
      <c r="BB27" s="329">
        <f>IF(AJ23=TRUE,2.5%,0)</f>
        <v>0</v>
      </c>
      <c r="BC27" s="98"/>
      <c r="BD27" s="322" t="s">
        <v>68</v>
      </c>
      <c r="BE27" s="323">
        <f>IF(AH27=TRUE,10%,0)</f>
        <v>0</v>
      </c>
      <c r="BF27" s="320"/>
      <c r="BG27" s="330">
        <v>2.5000000000000001E-2</v>
      </c>
      <c r="BH27" s="326">
        <f>SUM(BH39:BH158)/2</f>
        <v>23353.860988012206</v>
      </c>
      <c r="BI27"/>
      <c r="BJ27" s="203"/>
      <c r="BK27" s="202"/>
      <c r="BL27"/>
      <c r="BM27" s="3"/>
      <c r="BN27" s="115" t="s">
        <v>32</v>
      </c>
      <c r="BO27" s="116"/>
      <c r="BP27" s="116"/>
      <c r="BQ27" s="116"/>
      <c r="BR27" s="116"/>
      <c r="BS27" s="193"/>
      <c r="BT27" s="193"/>
      <c r="BU27" s="115"/>
    </row>
    <row r="28" spans="1:74" ht="15.75" customHeight="1" x14ac:dyDescent="0.25">
      <c r="A28" s="94"/>
      <c r="B28" s="60"/>
      <c r="C28" s="60"/>
      <c r="D28" s="62"/>
      <c r="E28" s="62"/>
      <c r="F28" s="65"/>
      <c r="G28" s="60"/>
      <c r="H28" s="65"/>
      <c r="I28" s="60"/>
      <c r="J28" s="60"/>
      <c r="K28" s="73"/>
      <c r="L28" s="73"/>
      <c r="M28" s="73"/>
      <c r="N28" s="73"/>
      <c r="O28" s="73"/>
      <c r="P28" s="63"/>
      <c r="Q28" s="218" t="s">
        <v>70</v>
      </c>
      <c r="R28" s="178"/>
      <c r="S28" s="172">
        <v>0.25</v>
      </c>
      <c r="T28" s="176"/>
      <c r="U28" s="176"/>
      <c r="V28" s="353"/>
      <c r="W28" s="353"/>
      <c r="X28" s="353"/>
      <c r="Y28" s="353"/>
      <c r="Z28" s="353"/>
      <c r="AA28" s="353"/>
      <c r="AB28" s="100"/>
      <c r="AC28" s="132"/>
      <c r="AD28" s="132"/>
      <c r="AE28" s="136"/>
      <c r="AF28" s="136"/>
      <c r="AG28" s="7"/>
      <c r="AH28"/>
      <c r="AI28"/>
      <c r="AJ28"/>
      <c r="AK28" s="3"/>
      <c r="AL28" s="3"/>
      <c r="AM28" s="119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98"/>
      <c r="AZ28" s="321"/>
      <c r="BA28" s="322" t="s">
        <v>74</v>
      </c>
      <c r="BB28" s="323">
        <f>IF(AH24=TRUE,5%,0)</f>
        <v>0</v>
      </c>
      <c r="BC28" s="98"/>
      <c r="BD28" s="322" t="s">
        <v>69</v>
      </c>
      <c r="BE28" s="323">
        <f>IF(AH27=TRUE,20%,0)</f>
        <v>0</v>
      </c>
      <c r="BF28" s="320"/>
      <c r="BG28" s="325">
        <v>0.05</v>
      </c>
      <c r="BH28" s="326">
        <f>SUM(BH39:BH158)</f>
        <v>46707.721976024412</v>
      </c>
      <c r="BI28"/>
      <c r="BJ28" s="203"/>
      <c r="BK28" s="202"/>
      <c r="BL28"/>
      <c r="BM28" s="3"/>
      <c r="BN28" s="15" t="s">
        <v>2</v>
      </c>
      <c r="BO28" s="15" t="s">
        <v>25</v>
      </c>
      <c r="BP28" s="15">
        <f>E17</f>
        <v>1</v>
      </c>
      <c r="BQ28" s="3"/>
      <c r="BR28" s="11"/>
      <c r="BU28" s="192" t="s">
        <v>26</v>
      </c>
    </row>
    <row r="29" spans="1:74" ht="15.75" customHeight="1" x14ac:dyDescent="0.25">
      <c r="A29" s="94"/>
      <c r="B29" s="370" t="s">
        <v>133</v>
      </c>
      <c r="C29" s="370"/>
      <c r="D29" s="83">
        <v>9.9000000000000005E-2</v>
      </c>
      <c r="E29" s="84">
        <v>0.04</v>
      </c>
      <c r="F29" s="60"/>
      <c r="G29" s="60"/>
      <c r="H29" s="60"/>
      <c r="I29" s="62"/>
      <c r="J29" s="62"/>
      <c r="K29" s="62"/>
      <c r="L29" s="62"/>
      <c r="M29" s="73"/>
      <c r="N29" s="73"/>
      <c r="O29" s="73"/>
      <c r="P29" s="63"/>
      <c r="Q29" s="179"/>
      <c r="R29" s="171"/>
      <c r="S29" s="172"/>
      <c r="T29" s="173"/>
      <c r="U29" s="352"/>
      <c r="V29" s="176"/>
      <c r="W29" s="176"/>
      <c r="X29" s="176"/>
      <c r="Y29" s="176"/>
      <c r="Z29" s="176"/>
      <c r="AA29" s="176"/>
      <c r="AB29" s="100"/>
      <c r="AC29" s="132"/>
      <c r="AD29" s="132"/>
      <c r="AE29" s="136"/>
      <c r="AF29" s="136"/>
      <c r="AH29"/>
      <c r="AI29"/>
      <c r="AJ29"/>
      <c r="AK29" s="3"/>
      <c r="AL29" s="3"/>
      <c r="AM29" s="96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98"/>
      <c r="AZ29" s="321"/>
      <c r="BA29" s="322" t="s">
        <v>75</v>
      </c>
      <c r="BB29" s="323">
        <f>IF(AH25=TRUE,S21,0)</f>
        <v>0</v>
      </c>
      <c r="BC29" s="98"/>
      <c r="BD29" s="322" t="s">
        <v>70</v>
      </c>
      <c r="BE29" s="323">
        <f>IF(AH27=TRUE,25%,0)</f>
        <v>0</v>
      </c>
      <c r="BF29" s="320"/>
      <c r="BG29" s="325">
        <v>0.05</v>
      </c>
      <c r="BH29" s="326">
        <f>SUM(BH39:BH50)</f>
        <v>4092.4799999999996</v>
      </c>
      <c r="BI29"/>
      <c r="BJ29" s="203"/>
      <c r="BK29" s="202"/>
      <c r="BL29"/>
      <c r="BM29" s="3"/>
      <c r="BN29" s="2" t="s">
        <v>18</v>
      </c>
      <c r="BO29" s="9" t="s">
        <v>21</v>
      </c>
      <c r="BP29" s="9" t="s">
        <v>22</v>
      </c>
      <c r="BQ29" s="9" t="s">
        <v>23</v>
      </c>
      <c r="BR29" s="9" t="s">
        <v>4</v>
      </c>
      <c r="BU29" s="192" t="s">
        <v>24</v>
      </c>
      <c r="BV29" s="192" t="s">
        <v>36</v>
      </c>
    </row>
    <row r="30" spans="1:74" ht="15.75" customHeight="1" x14ac:dyDescent="0.25">
      <c r="A30" s="94"/>
      <c r="B30" s="62"/>
      <c r="C30" s="62"/>
      <c r="D30" s="82" t="s">
        <v>59</v>
      </c>
      <c r="E30" s="82" t="s">
        <v>83</v>
      </c>
      <c r="F30" s="62"/>
      <c r="G30" s="62"/>
      <c r="H30" s="62"/>
      <c r="I30" s="591" t="s">
        <v>5</v>
      </c>
      <c r="J30" s="591"/>
      <c r="K30" s="295">
        <v>1.4</v>
      </c>
      <c r="L30" s="295" t="s">
        <v>117</v>
      </c>
      <c r="M30" s="294" t="s">
        <v>118</v>
      </c>
      <c r="N30" s="73"/>
      <c r="O30" s="73"/>
      <c r="P30" s="73"/>
      <c r="Q30" s="117" t="s">
        <v>115</v>
      </c>
      <c r="R30" s="126"/>
      <c r="S30" s="126"/>
      <c r="T30" s="126"/>
      <c r="U30" s="62"/>
      <c r="V30" s="352"/>
      <c r="W30" s="352"/>
      <c r="X30" s="352"/>
      <c r="Y30" s="352"/>
      <c r="Z30" s="352"/>
      <c r="AA30" s="352"/>
      <c r="AB30" s="100"/>
      <c r="AE30" s="136"/>
      <c r="AF30" s="136"/>
      <c r="AG30" s="3"/>
      <c r="AK30" s="3"/>
      <c r="AL30" s="3"/>
      <c r="AM30" s="97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98"/>
      <c r="AZ30" s="321"/>
      <c r="BA30" s="322" t="s">
        <v>67</v>
      </c>
      <c r="BB30" s="339">
        <f>IF(AH26=TRUE,5%,0)</f>
        <v>0</v>
      </c>
      <c r="BC30" s="98"/>
      <c r="BD30" s="98"/>
      <c r="BE30" s="98"/>
      <c r="BF30" s="98"/>
      <c r="BG30" s="325">
        <v>0.05</v>
      </c>
      <c r="BH30" s="338">
        <f>SUM(BH39:BH158)</f>
        <v>46707.721976024412</v>
      </c>
      <c r="BI30" s="3"/>
      <c r="BJ30" s="203"/>
      <c r="BK30" s="202"/>
      <c r="BL30" s="3"/>
      <c r="BM30" s="3"/>
      <c r="BN30" s="11">
        <f>VLOOKUP(E17,BM39:BR98,2,0)*E18</f>
        <v>1493333.3333333333</v>
      </c>
      <c r="BO30" s="11">
        <f>VLOOKUP(E17,BM39:BR98,3,0)/2*E18</f>
        <v>188160</v>
      </c>
      <c r="BP30" s="11">
        <f>BO30*0.16</f>
        <v>30105.600000000002</v>
      </c>
      <c r="BQ30" s="3"/>
      <c r="BR30" s="6">
        <f>SUM(BN30:BQ30)</f>
        <v>1711598.9333333333</v>
      </c>
      <c r="BU30" s="6">
        <f>VLOOKUP(E17,BT39:BY98,6,0)</f>
        <v>32254.133333333331</v>
      </c>
      <c r="BV30" s="9">
        <f>E17</f>
        <v>1</v>
      </c>
    </row>
    <row r="31" spans="1:74" ht="15.75" customHeight="1" x14ac:dyDescent="0.3">
      <c r="A31" s="94"/>
      <c r="B31" s="60"/>
      <c r="C31" s="60"/>
      <c r="D31" s="82" t="s">
        <v>3</v>
      </c>
      <c r="E31" s="82" t="s">
        <v>106</v>
      </c>
      <c r="F31" s="287" t="s">
        <v>116</v>
      </c>
      <c r="G31" s="60"/>
      <c r="H31" s="60"/>
      <c r="I31" s="62"/>
      <c r="J31" s="60"/>
      <c r="K31" s="62"/>
      <c r="L31" s="62"/>
      <c r="M31" s="62"/>
      <c r="N31" s="62"/>
      <c r="O31" s="62"/>
      <c r="P31" s="62"/>
      <c r="Q31" s="117" t="s">
        <v>139</v>
      </c>
      <c r="R31" s="108"/>
      <c r="S31" s="62"/>
      <c r="T31" s="62"/>
      <c r="U31" s="62"/>
      <c r="V31" s="62"/>
      <c r="W31" s="62"/>
      <c r="X31" s="62"/>
      <c r="Y31" s="62"/>
      <c r="Z31" s="62"/>
      <c r="AA31" s="62"/>
      <c r="AB31" s="100"/>
      <c r="AE31" s="136"/>
      <c r="AF31" s="136"/>
      <c r="AK31" s="3"/>
      <c r="AL31" s="3"/>
      <c r="AM31" s="118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98"/>
      <c r="AZ31" s="321"/>
      <c r="BA31" s="331" t="s">
        <v>76</v>
      </c>
      <c r="BB31" s="318">
        <f>SUM(BB26:BB30)</f>
        <v>0</v>
      </c>
      <c r="BC31" s="98"/>
      <c r="BD31" s="98"/>
      <c r="BE31" s="98"/>
      <c r="BF31" s="98"/>
      <c r="BG31" s="332"/>
      <c r="BH31" s="337">
        <f>SUM(BH26:BH30)</f>
        <v>167569.50691608543</v>
      </c>
      <c r="BI31" s="3"/>
      <c r="BJ31" s="204"/>
      <c r="BK31" s="11"/>
      <c r="BL31" s="3"/>
    </row>
    <row r="32" spans="1:74" ht="15.75" customHeight="1" x14ac:dyDescent="0.25">
      <c r="A32" s="94"/>
      <c r="B32" s="60"/>
      <c r="C32" s="60"/>
      <c r="D32" s="60"/>
      <c r="E32" s="62"/>
      <c r="F32" s="60"/>
      <c r="G32" s="60"/>
      <c r="H32" s="356"/>
      <c r="I32" s="60"/>
      <c r="J32" s="73"/>
      <c r="K32" s="73"/>
      <c r="L32" s="70"/>
      <c r="M32" s="70"/>
      <c r="N32" s="70"/>
      <c r="O32" s="73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100"/>
      <c r="AE32" s="132"/>
      <c r="AF32" s="132"/>
      <c r="AK32" s="3"/>
      <c r="AL32" s="3"/>
      <c r="AM32" s="118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C32" s="3"/>
      <c r="BD32" s="3"/>
      <c r="BE32" s="3"/>
      <c r="BF32" s="3"/>
      <c r="BH32" s="3"/>
      <c r="BI32" s="3"/>
      <c r="BK32" s="11"/>
      <c r="BL32" s="3"/>
      <c r="BM32" s="3"/>
    </row>
    <row r="33" spans="1:77" ht="15.75" customHeight="1" x14ac:dyDescent="0.3">
      <c r="A33" s="94"/>
      <c r="B33" s="247" t="s">
        <v>46</v>
      </c>
      <c r="C33" s="248"/>
      <c r="D33" s="249">
        <f>SUM(D39:D98,J39:J98,Q39:Q98,W39:W98)</f>
        <v>5854155.9226258295</v>
      </c>
      <c r="E33" s="357">
        <f>D33/(B21-K19)</f>
        <v>2.1889502272595651</v>
      </c>
      <c r="F33" s="224"/>
      <c r="G33" s="70"/>
      <c r="H33" s="355"/>
      <c r="I33" s="87"/>
      <c r="J33" s="63"/>
      <c r="K33" s="63"/>
      <c r="L33" s="70"/>
      <c r="M33" s="70"/>
      <c r="N33" s="70"/>
      <c r="O33" s="63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100"/>
      <c r="AE33" s="133"/>
      <c r="AF33" s="133"/>
      <c r="AG33" s="7"/>
      <c r="AH33"/>
      <c r="AI33"/>
      <c r="AJ33"/>
      <c r="AK33" s="3"/>
      <c r="AL33" s="3"/>
      <c r="AM33" s="119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C33" s="3"/>
      <c r="BD33" s="3"/>
      <c r="BE33" s="3"/>
      <c r="BF33" s="3"/>
      <c r="BH33" s="3"/>
      <c r="BI33" s="3"/>
      <c r="BK33" s="3"/>
      <c r="BL33" s="3"/>
      <c r="BM33" s="3"/>
      <c r="BO33" s="8"/>
    </row>
    <row r="34" spans="1:77" s="96" customFormat="1" ht="15.75" customHeight="1" x14ac:dyDescent="0.25">
      <c r="A34" s="217"/>
      <c r="B34" s="359"/>
      <c r="C34" s="63"/>
      <c r="D34" s="360"/>
      <c r="E34" s="358" t="s">
        <v>128</v>
      </c>
      <c r="F34" s="364" t="s">
        <v>130</v>
      </c>
      <c r="G34" s="70"/>
      <c r="H34" s="70"/>
      <c r="I34" s="70"/>
      <c r="J34" s="63"/>
      <c r="K34" s="63"/>
      <c r="L34" s="63"/>
      <c r="M34" s="63"/>
      <c r="N34" s="63"/>
      <c r="O34" s="258"/>
      <c r="P34" s="126"/>
      <c r="Q34" s="126"/>
      <c r="R34" s="70"/>
      <c r="S34" s="126"/>
      <c r="T34" s="126"/>
      <c r="U34" s="62"/>
      <c r="V34" s="62"/>
      <c r="W34" s="62"/>
      <c r="X34" s="62"/>
      <c r="Y34" s="62"/>
      <c r="Z34" s="62"/>
      <c r="AA34" s="62"/>
      <c r="AB34" s="100"/>
      <c r="AE34" s="132"/>
      <c r="AF34" s="132"/>
      <c r="AG34" s="10"/>
      <c r="AK34" s="3"/>
      <c r="AL34" s="577" t="s">
        <v>48</v>
      </c>
      <c r="AM34" s="577"/>
      <c r="AN34" s="577"/>
      <c r="AO34" s="577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10"/>
      <c r="BC34" s="3"/>
      <c r="BD34" s="3"/>
      <c r="BE34" s="336"/>
      <c r="BF34" s="3"/>
      <c r="BG34" s="3"/>
      <c r="BH34" s="336"/>
      <c r="BI34" s="3"/>
      <c r="BJ34" s="3"/>
      <c r="BK34" s="336"/>
      <c r="BL34" s="3"/>
      <c r="BM34" s="3"/>
      <c r="BN34" s="3"/>
      <c r="BO34" s="3"/>
      <c r="BP34" s="3"/>
      <c r="BQ34" s="3"/>
      <c r="BR34" s="3"/>
      <c r="BS34" s="1"/>
      <c r="BT34" s="1"/>
      <c r="BU34" s="1"/>
      <c r="BV34" s="1"/>
      <c r="BW34" s="1"/>
      <c r="BX34" s="1"/>
      <c r="BY34" s="1"/>
    </row>
    <row r="35" spans="1:77" s="96" customFormat="1" ht="15.75" customHeight="1" x14ac:dyDescent="0.25">
      <c r="A35" s="217"/>
      <c r="B35" s="359"/>
      <c r="C35" s="63"/>
      <c r="D35" s="360"/>
      <c r="E35" s="364" t="s">
        <v>129</v>
      </c>
      <c r="F35" s="63"/>
      <c r="G35" s="70"/>
      <c r="H35" s="70"/>
      <c r="I35" s="70"/>
      <c r="J35" s="63"/>
      <c r="K35" s="63"/>
      <c r="L35" s="63"/>
      <c r="M35" s="63"/>
      <c r="N35" s="63"/>
      <c r="O35" s="258"/>
      <c r="P35" s="126"/>
      <c r="Q35" s="126"/>
      <c r="R35" s="70"/>
      <c r="S35" s="126"/>
      <c r="T35" s="126"/>
      <c r="U35" s="62"/>
      <c r="V35" s="62"/>
      <c r="W35" s="62"/>
      <c r="X35" s="62"/>
      <c r="Y35" s="62"/>
      <c r="Z35" s="62"/>
      <c r="AA35" s="62"/>
      <c r="AB35" s="100"/>
      <c r="AE35" s="132"/>
      <c r="AF35" s="132"/>
      <c r="AG35" s="10"/>
      <c r="AK35" s="3"/>
      <c r="AL35" s="577" t="s">
        <v>48</v>
      </c>
      <c r="AM35" s="577"/>
      <c r="AN35" s="577"/>
      <c r="AO35" s="577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10"/>
      <c r="BC35" s="3"/>
      <c r="BD35" s="3"/>
      <c r="BL35" s="3"/>
      <c r="BM35" s="3"/>
      <c r="BN35" s="3"/>
      <c r="BO35" s="3"/>
      <c r="BP35" s="3"/>
      <c r="BQ35" s="3"/>
      <c r="BR35" s="3"/>
      <c r="BS35" s="1"/>
      <c r="BT35" s="1"/>
      <c r="BU35" s="1"/>
      <c r="BV35" s="1"/>
      <c r="BW35" s="1"/>
      <c r="BX35" s="1"/>
      <c r="BY35" s="1"/>
    </row>
    <row r="36" spans="1:77" s="96" customFormat="1" ht="15.75" customHeight="1" x14ac:dyDescent="0.25">
      <c r="A36" s="217"/>
      <c r="B36" s="216"/>
      <c r="C36" s="85"/>
      <c r="D36" s="122"/>
      <c r="E36" s="361"/>
      <c r="F36" s="85"/>
      <c r="G36" s="121"/>
      <c r="H36" s="121"/>
      <c r="I36" s="121"/>
      <c r="J36" s="85"/>
      <c r="K36" s="85"/>
      <c r="L36" s="85"/>
      <c r="M36" s="85"/>
      <c r="N36" s="85"/>
      <c r="O36" s="362"/>
      <c r="P36" s="363"/>
      <c r="Q36" s="363"/>
      <c r="R36" s="121"/>
      <c r="S36" s="126"/>
      <c r="T36" s="126"/>
      <c r="U36" s="62"/>
      <c r="V36" s="62"/>
      <c r="W36" s="62"/>
      <c r="X36" s="62"/>
      <c r="Y36" s="62"/>
      <c r="Z36" s="62"/>
      <c r="AA36" s="62"/>
      <c r="AB36" s="100"/>
      <c r="AE36" s="132"/>
      <c r="AF36" s="132"/>
      <c r="AG36" s="10"/>
      <c r="AK36" s="3"/>
      <c r="AL36" s="214"/>
      <c r="AM36" s="214"/>
      <c r="AN36" s="214"/>
      <c r="AO36" s="214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10"/>
      <c r="BC36" s="3"/>
      <c r="BD36" s="3"/>
      <c r="BE36" s="336">
        <f>SUM(BE39:BE153)</f>
        <v>4129811.3891663942</v>
      </c>
      <c r="BF36" s="3"/>
      <c r="BG36" s="3"/>
      <c r="BH36" s="336">
        <f>SUM(BH39:BH153)</f>
        <v>46707.721976024412</v>
      </c>
      <c r="BI36" s="3"/>
      <c r="BJ36" s="3"/>
      <c r="BK36" s="336">
        <f>SUM(BK39:BK153)</f>
        <v>0</v>
      </c>
      <c r="BL36" s="3"/>
      <c r="BM36" s="3"/>
      <c r="BN36" s="3"/>
      <c r="BO36" s="3"/>
      <c r="BP36" s="3"/>
      <c r="BQ36" s="3"/>
      <c r="BR36" s="3"/>
      <c r="BS36" s="1"/>
      <c r="BT36" s="1"/>
      <c r="BU36" s="1"/>
      <c r="BV36" s="1"/>
      <c r="BW36" s="1"/>
      <c r="BX36" s="1"/>
      <c r="BY36" s="1"/>
    </row>
    <row r="37" spans="1:77" s="96" customFormat="1" ht="15.75" customHeight="1" x14ac:dyDescent="0.3">
      <c r="A37" s="259"/>
      <c r="B37" s="340" t="s">
        <v>6</v>
      </c>
      <c r="C37" s="342" t="s">
        <v>30</v>
      </c>
      <c r="D37" s="260" t="s">
        <v>7</v>
      </c>
      <c r="E37" s="286" t="s">
        <v>18</v>
      </c>
      <c r="F37" s="286" t="s">
        <v>108</v>
      </c>
      <c r="G37" s="286" t="s">
        <v>110</v>
      </c>
      <c r="H37" s="286" t="s">
        <v>112</v>
      </c>
      <c r="I37" s="286" t="s">
        <v>112</v>
      </c>
      <c r="J37" s="578" t="s">
        <v>204</v>
      </c>
      <c r="K37" s="296" t="s">
        <v>18</v>
      </c>
      <c r="L37" s="296" t="s">
        <v>108</v>
      </c>
      <c r="M37" s="296" t="s">
        <v>110</v>
      </c>
      <c r="N37" s="578" t="s">
        <v>122</v>
      </c>
      <c r="O37" s="340" t="s">
        <v>6</v>
      </c>
      <c r="P37" s="342" t="s">
        <v>30</v>
      </c>
      <c r="Q37" s="260" t="s">
        <v>7</v>
      </c>
      <c r="R37" s="286" t="s">
        <v>18</v>
      </c>
      <c r="S37" s="286" t="s">
        <v>108</v>
      </c>
      <c r="T37" s="286" t="s">
        <v>110</v>
      </c>
      <c r="U37" s="286" t="s">
        <v>112</v>
      </c>
      <c r="V37" s="286" t="s">
        <v>112</v>
      </c>
      <c r="W37" s="578" t="s">
        <v>204</v>
      </c>
      <c r="X37" s="296" t="s">
        <v>18</v>
      </c>
      <c r="Y37" s="296" t="s">
        <v>108</v>
      </c>
      <c r="Z37" s="310" t="s">
        <v>110</v>
      </c>
      <c r="AA37" s="578" t="s">
        <v>122</v>
      </c>
      <c r="AB37" s="312"/>
      <c r="AE37" s="136"/>
      <c r="AF37" s="136"/>
      <c r="AG37" s="52"/>
      <c r="AH37" s="53" t="s">
        <v>9</v>
      </c>
      <c r="AI37" s="56"/>
      <c r="AJ37" s="57" t="s">
        <v>9</v>
      </c>
      <c r="AK37" s="3"/>
      <c r="AL37" s="580" t="s">
        <v>45</v>
      </c>
      <c r="AM37" s="580"/>
      <c r="AN37" s="580"/>
      <c r="AO37" s="580"/>
      <c r="AP37" s="3"/>
      <c r="AQ37" s="575" t="s">
        <v>39</v>
      </c>
      <c r="AR37" s="575"/>
      <c r="AS37" s="575"/>
      <c r="AT37" s="575"/>
      <c r="AU37" s="1"/>
      <c r="AV37" s="575" t="s">
        <v>40</v>
      </c>
      <c r="AW37" s="575"/>
      <c r="AX37" s="576" t="s">
        <v>121</v>
      </c>
      <c r="AY37" s="576"/>
      <c r="AZ37" s="9"/>
      <c r="BA37" s="51"/>
      <c r="BB37" s="51" t="s">
        <v>20</v>
      </c>
      <c r="BC37" s="3"/>
      <c r="BD37" s="301"/>
      <c r="BE37" s="301" t="s">
        <v>44</v>
      </c>
      <c r="BF37"/>
      <c r="BG37" s="298"/>
      <c r="BH37" s="299" t="s">
        <v>91</v>
      </c>
      <c r="BI37"/>
      <c r="BJ37" s="298"/>
      <c r="BK37" s="299" t="s">
        <v>96</v>
      </c>
      <c r="BL37"/>
      <c r="BM37" s="18" t="s">
        <v>8</v>
      </c>
      <c r="BN37" s="20" t="s">
        <v>28</v>
      </c>
      <c r="BO37" s="19"/>
      <c r="BP37" s="19"/>
      <c r="BQ37" s="19"/>
      <c r="BR37" s="27" t="s">
        <v>4</v>
      </c>
      <c r="BS37" s="1"/>
      <c r="BT37" s="24" t="s">
        <v>8</v>
      </c>
      <c r="BU37" s="25" t="s">
        <v>126</v>
      </c>
      <c r="BV37" s="26"/>
      <c r="BW37" s="26"/>
      <c r="BX37" s="26"/>
      <c r="BY37" s="27" t="s">
        <v>20</v>
      </c>
    </row>
    <row r="38" spans="1:77" s="96" customFormat="1" ht="15.6" x14ac:dyDescent="0.3">
      <c r="A38" s="259"/>
      <c r="B38" s="341" t="s">
        <v>10</v>
      </c>
      <c r="C38" s="343" t="s">
        <v>11</v>
      </c>
      <c r="D38" s="261" t="s">
        <v>11</v>
      </c>
      <c r="E38" s="262" t="s">
        <v>107</v>
      </c>
      <c r="F38" s="262" t="s">
        <v>109</v>
      </c>
      <c r="G38" s="262" t="s">
        <v>111</v>
      </c>
      <c r="H38" s="262" t="s">
        <v>113</v>
      </c>
      <c r="I38" s="262" t="s">
        <v>114</v>
      </c>
      <c r="J38" s="579"/>
      <c r="K38" s="297" t="s">
        <v>107</v>
      </c>
      <c r="L38" s="297" t="s">
        <v>109</v>
      </c>
      <c r="M38" s="297" t="s">
        <v>111</v>
      </c>
      <c r="N38" s="579"/>
      <c r="O38" s="341" t="s">
        <v>10</v>
      </c>
      <c r="P38" s="343" t="s">
        <v>11</v>
      </c>
      <c r="Q38" s="261" t="s">
        <v>11</v>
      </c>
      <c r="R38" s="262" t="s">
        <v>107</v>
      </c>
      <c r="S38" s="262" t="s">
        <v>109</v>
      </c>
      <c r="T38" s="262" t="s">
        <v>111</v>
      </c>
      <c r="U38" s="262" t="s">
        <v>113</v>
      </c>
      <c r="V38" s="262" t="s">
        <v>114</v>
      </c>
      <c r="W38" s="579"/>
      <c r="X38" s="297" t="s">
        <v>107</v>
      </c>
      <c r="Y38" s="297" t="s">
        <v>109</v>
      </c>
      <c r="Z38" s="311" t="s">
        <v>111</v>
      </c>
      <c r="AA38" s="579"/>
      <c r="AB38" s="312"/>
      <c r="AE38" s="136"/>
      <c r="AF38" s="136"/>
      <c r="AG38" s="200">
        <v>0</v>
      </c>
      <c r="AH38" s="53" t="s">
        <v>27</v>
      </c>
      <c r="AI38" s="56" t="s">
        <v>8</v>
      </c>
      <c r="AJ38" s="57" t="s">
        <v>29</v>
      </c>
      <c r="AK38" s="3"/>
      <c r="AL38" s="58" t="s">
        <v>8</v>
      </c>
      <c r="AM38" s="58" t="s">
        <v>33</v>
      </c>
      <c r="AN38" s="58" t="s">
        <v>8</v>
      </c>
      <c r="AO38" s="58" t="s">
        <v>33</v>
      </c>
      <c r="AP38" s="3"/>
      <c r="AQ38" s="301" t="s">
        <v>8</v>
      </c>
      <c r="AR38" s="301" t="s">
        <v>34</v>
      </c>
      <c r="AS38" s="301" t="s">
        <v>8</v>
      </c>
      <c r="AT38" s="301" t="s">
        <v>34</v>
      </c>
      <c r="AU38" s="1"/>
      <c r="AV38" s="313" t="s">
        <v>37</v>
      </c>
      <c r="AW38" s="313" t="s">
        <v>38</v>
      </c>
      <c r="AX38" s="313" t="s">
        <v>37</v>
      </c>
      <c r="AY38" s="313" t="s">
        <v>38</v>
      </c>
      <c r="AZ38" s="9"/>
      <c r="BA38" s="51" t="s">
        <v>8</v>
      </c>
      <c r="BB38" s="51" t="s">
        <v>42</v>
      </c>
      <c r="BC38" s="11"/>
      <c r="BD38" s="301" t="s">
        <v>8</v>
      </c>
      <c r="BE38" s="301" t="s">
        <v>42</v>
      </c>
      <c r="BF38"/>
      <c r="BG38" s="298" t="s">
        <v>8</v>
      </c>
      <c r="BH38" s="299" t="s">
        <v>92</v>
      </c>
      <c r="BI38"/>
      <c r="BJ38" s="298" t="s">
        <v>8</v>
      </c>
      <c r="BK38" s="299" t="s">
        <v>2</v>
      </c>
      <c r="BL38"/>
      <c r="BM38" s="16"/>
      <c r="BN38" s="17" t="s">
        <v>18</v>
      </c>
      <c r="BO38" s="17" t="s">
        <v>21</v>
      </c>
      <c r="BP38" s="17" t="s">
        <v>22</v>
      </c>
      <c r="BQ38" s="17" t="s">
        <v>23</v>
      </c>
      <c r="BR38" s="30" t="s">
        <v>27</v>
      </c>
      <c r="BS38" s="1"/>
      <c r="BT38" s="28"/>
      <c r="BU38" s="29" t="s">
        <v>18</v>
      </c>
      <c r="BV38" s="29" t="s">
        <v>21</v>
      </c>
      <c r="BW38" s="29" t="s">
        <v>22</v>
      </c>
      <c r="BX38" s="29" t="s">
        <v>23</v>
      </c>
      <c r="BY38" s="30" t="s">
        <v>24</v>
      </c>
    </row>
    <row r="39" spans="1:77" s="96" customFormat="1" ht="18" customHeight="1" x14ac:dyDescent="0.25">
      <c r="A39" s="259"/>
      <c r="B39" s="263">
        <v>1</v>
      </c>
      <c r="C39" s="264">
        <f>IF(AM39=0,0,IF(E17&gt;=180,0,IF(E17=0,1,E17+1)))</f>
        <v>2</v>
      </c>
      <c r="D39" s="265">
        <f>IF(B39-1=$AO$101,AM39*$AO$102,IF(B39&gt;$AO$101,0,AM39))</f>
        <v>42744.566666666658</v>
      </c>
      <c r="E39" s="266">
        <f>IF(B39-1=$AO$101,(SUM(VLOOKUP(AL39,$AI$39:$AJ$158,2,0)/$B$10*$K$30))*$AO$102,IF(B39&gt;$AO$101,0,(SUM(VLOOKUP(AL39,$AI$39:$AJ$158,2,0)/$B$10*$K$30))))</f>
        <v>32666.666666666664</v>
      </c>
      <c r="F39" s="266">
        <f>IF(B39-1=$AO$101,(SUM(VLOOKUP(AL39,$AI$39:$AJ$159,2,0)*($G$15*(100%-$BB$31))))*$AO$102,IF(B39&gt;$AO$101,0,(SUM(VLOOKUP(AL39,$AI$39:$AJ$159,2,0)*($G$15*(100%-$BB$31))))))</f>
        <v>5880</v>
      </c>
      <c r="G39" s="266">
        <f>F39*0.16</f>
        <v>940.80000000000007</v>
      </c>
      <c r="H39" s="266">
        <f>IF(B39-1=$AO$101,(SUM(VLOOKUP(BA39,$AI$39:$AJ$158,2,0)*$I$15))*$AO$102,IF(B39&gt;$AO$101,0,(SUM(VLOOKUP(BA39,$AI$39:$AJ$158,2,0)*$I$15))))</f>
        <v>2100</v>
      </c>
      <c r="I39" s="266">
        <f>IF(B39-1=$AO$101,(SUM(VLOOKUP(BA39,$AI$39:$AJ$158,2,0)*$J$15))*$AO$102,IF(B39&gt;$AO$101,0,(SUM(VLOOKUP(BA39,$AI$39:$AJ$158,2,0)*$J$15))))</f>
        <v>1157.1000000000001</v>
      </c>
      <c r="J39" s="435">
        <f>'Resumen Flex'!K36</f>
        <v>0</v>
      </c>
      <c r="K39" s="317">
        <f>IF(J39=0,0,($AJ39/$B$10)*$AX39)</f>
        <v>0</v>
      </c>
      <c r="L39" s="317">
        <f>IF(J39=0,0,($AJ39*$G$15)*$AX39)</f>
        <v>0</v>
      </c>
      <c r="M39" s="317">
        <f>L39*0.16</f>
        <v>0</v>
      </c>
      <c r="N39" s="347">
        <f>AX39</f>
        <v>0</v>
      </c>
      <c r="O39" s="267">
        <f>B98+1</f>
        <v>61</v>
      </c>
      <c r="P39" s="264">
        <f>IF(Q39=0,0,IF(C98&gt;=180,0,IF(C98=0,0,C98+1)))</f>
        <v>62</v>
      </c>
      <c r="Q39" s="265">
        <f>IF(O39-1=$AO$101,AO39*$AO$102,IF(O39&gt;$AO$101,0,AO39))</f>
        <v>52005.301096830284</v>
      </c>
      <c r="R39" s="266">
        <f>IF(O39-1=$AO$101,(SUM(VLOOKUP(AN39,$AI$39:$AJ$158,2,0)/$B$10*$K$30))*$AO$102,IF(O39&gt;$AO$101,0,(SUM(VLOOKUP(AN39,$AI$39:$AJ$158,2,0)/$B$10*$K$30))))</f>
        <v>39743.994811733326</v>
      </c>
      <c r="S39" s="266">
        <f>IF(O39-1=$AO$101,(SUM(VLOOKUP(AN39,$AI$39:$AJ$159,2,0)*($G$15*(100%-$BB$31+$BB$29))))*$AO$102,IF(O39&gt;$AO$101,0,(SUM(VLOOKUP(AN39,$AI$39:$AJ$159,2,0)*($G$15*(100%-$BB$31+$BB$29))))))</f>
        <v>7153.9190661119992</v>
      </c>
      <c r="T39" s="266">
        <f t="shared" ref="T39" si="1">S39*0.16</f>
        <v>1144.6270505779198</v>
      </c>
      <c r="U39" s="266">
        <f>IF(O39-1=$AO$101,(SUM(VLOOKUP(AN39,$AI$39:$AJ$158,2,0)*$I$15))*$AO$102,IF(O39&gt;$AO$101,0,(SUM(VLOOKUP(AN39,$AI$39:$AJ$158,2,0)*$I$15))))</f>
        <v>2554.9710950399995</v>
      </c>
      <c r="V39" s="266">
        <f>IF(O39-1=$AO$101,(SUM(VLOOKUP(AN39,$AI$39:$AJ$158,2,0)*$J$15))*$AO$102,IF(O39&gt;$AO$101,0,(SUM(VLOOKUP(AN39,$AI$39:$AJ$158,2,0)*$J$15))))</f>
        <v>1407.7890733670399</v>
      </c>
      <c r="W39" s="435">
        <f>'Resumen Flex'!K41</f>
        <v>0</v>
      </c>
      <c r="X39" s="317">
        <f t="shared" ref="X39:X86" si="2">IF(W39=0,0,($AJ99/$B$10)*$AY39)</f>
        <v>0</v>
      </c>
      <c r="Y39" s="317">
        <f t="shared" ref="Y39:Y86" si="3">IF(W39=0,0,($AJ99*($G$15*(100%-$BE$29))*$AY39))</f>
        <v>0</v>
      </c>
      <c r="Z39" s="317">
        <f t="shared" ref="Z39:Z86" si="4">Y39*0.16</f>
        <v>0</v>
      </c>
      <c r="AA39" s="347">
        <f>AY39</f>
        <v>0</v>
      </c>
      <c r="AB39" s="309"/>
      <c r="AC39" s="132"/>
      <c r="AD39" s="132"/>
      <c r="AE39" s="136"/>
      <c r="AF39" s="132"/>
      <c r="AG39" s="37">
        <v>1</v>
      </c>
      <c r="AH39" s="14">
        <f>B7</f>
        <v>4200000</v>
      </c>
      <c r="AI39" s="54">
        <f>E17+1</f>
        <v>2</v>
      </c>
      <c r="AJ39" s="55">
        <f>VLOOKUP(AI39,$AG$39:$AH$99,2,0)</f>
        <v>4200000</v>
      </c>
      <c r="AK39" s="59">
        <v>1</v>
      </c>
      <c r="AL39" s="54">
        <f>BA39</f>
        <v>2</v>
      </c>
      <c r="AM39" s="45">
        <f>IFERROR(VLOOKUP(AL39,$BA$39:$BB$218,2,0),0)</f>
        <v>42744.566666666658</v>
      </c>
      <c r="AN39" s="44">
        <f>AL98+1</f>
        <v>62</v>
      </c>
      <c r="AO39" s="45">
        <f t="shared" ref="AO39:AO93" si="5">IFERROR(VLOOKUP(AN39,$BA$39:$BB$218,2,0),0)</f>
        <v>52005.301096830284</v>
      </c>
      <c r="AP39" s="3"/>
      <c r="AQ39" s="46">
        <f>E17+1</f>
        <v>2</v>
      </c>
      <c r="AR39" s="47">
        <f>IFERROR(VLOOKUP(AQ39,$BD$39:$BE$218,2,0),0)</f>
        <v>30154.133333333331</v>
      </c>
      <c r="AS39" s="46">
        <f>AQ98+1</f>
        <v>62</v>
      </c>
      <c r="AT39" s="47">
        <f t="shared" ref="AT39:AT93" si="6">IFERROR(VLOOKUP(AS39,$BD$39:$BE$218,2,0),0)</f>
        <v>36687.113839356578</v>
      </c>
      <c r="AU39" s="1"/>
      <c r="AV39" s="41">
        <f t="shared" ref="AV39:AV98" si="7">J39</f>
        <v>0</v>
      </c>
      <c r="AW39" s="41">
        <f t="shared" ref="AW39:AW93" si="8">W39</f>
        <v>0</v>
      </c>
      <c r="AX39" s="43">
        <f t="shared" ref="AX39:AX98" si="9">IFERROR(AV39/AR39,0)</f>
        <v>0</v>
      </c>
      <c r="AY39" s="43">
        <f t="shared" ref="AY39:AY93" si="10">IFERROR(AW39/AT39,0)</f>
        <v>0</v>
      </c>
      <c r="AZ39" s="11"/>
      <c r="BA39" s="34">
        <f>E17+1</f>
        <v>2</v>
      </c>
      <c r="BB39" s="35">
        <f t="shared" ref="BB39:BB50" si="11">SUM(VLOOKUP(BA39,$AI$39:$AJ$158,2,0)/$B$10*$K$30,VLOOKUP(BA39,$AI$39:$AJ$158,2,0)*($G$15*(100%-$BB$31))*1.16,VLOOKUP(BA39,$AI$39:$AJ$158,2,0)*$I$15,VLOOKUP(BA39,$AI$39:$AJ$158,2,0)*$J$15)</f>
        <v>42744.566666666658</v>
      </c>
      <c r="BC39" s="120"/>
      <c r="BD39" s="302">
        <f>E17+1</f>
        <v>2</v>
      </c>
      <c r="BE39" s="303">
        <f>AJ39/$B$10+AJ39*$G$15*1.16</f>
        <v>30154.133333333331</v>
      </c>
      <c r="BF39" s="208"/>
      <c r="BG39" s="37">
        <f>E17+1</f>
        <v>2</v>
      </c>
      <c r="BH39" s="8">
        <f t="shared" ref="BH39:BH70" si="12">VLOOKUP(BA39,$AI$39:$AJ$158,2,0)*($G$15*1.16)*5%*(IF(D39/BB39=1,1,D39/BB39))</f>
        <v>341.03999999999996</v>
      </c>
      <c r="BI39" s="8"/>
      <c r="BJ39" s="37">
        <f>E17+1</f>
        <v>2</v>
      </c>
      <c r="BK39" s="8">
        <f t="shared" ref="BK39:BK98" si="13">IF(BH39=0,0,(AJ39/$B$10+AJ39*$G$15*1.16)-BE39)*(IF(D39/BB39=1,1,D39/BB39))*AX39</f>
        <v>0</v>
      </c>
      <c r="BL39" s="42"/>
      <c r="BM39" s="4">
        <v>1</v>
      </c>
      <c r="BN39" s="14">
        <f t="shared" ref="BN39:BN98" si="14">AH39/$B$10</f>
        <v>23333.333333333332</v>
      </c>
      <c r="BO39" s="14">
        <f t="shared" ref="BO39:BO98" si="15">AH39*$G$15*(100%-$BB$26-$BB$28)</f>
        <v>5880</v>
      </c>
      <c r="BP39" s="14">
        <f>BO39*0.16</f>
        <v>940.80000000000007</v>
      </c>
      <c r="BQ39" s="14">
        <f t="shared" ref="BQ39:BQ98" si="16">AH39*$I$15</f>
        <v>2100</v>
      </c>
      <c r="BR39" s="38">
        <f t="shared" ref="BR39:BR70" si="17">SUM(BN39:BQ39)</f>
        <v>32254.133333333331</v>
      </c>
      <c r="BS39" s="1"/>
      <c r="BT39" s="4">
        <v>1</v>
      </c>
      <c r="BU39" s="14">
        <f t="shared" ref="BU39:BW39" si="18">BN39</f>
        <v>23333.333333333332</v>
      </c>
      <c r="BV39" s="14">
        <f t="shared" si="18"/>
        <v>5880</v>
      </c>
      <c r="BW39" s="14">
        <f t="shared" si="18"/>
        <v>940.80000000000007</v>
      </c>
      <c r="BX39" s="14">
        <f>BQ39</f>
        <v>2100</v>
      </c>
      <c r="BY39" s="21">
        <f>BR39</f>
        <v>32254.133333333331</v>
      </c>
    </row>
    <row r="40" spans="1:77" s="96" customFormat="1" ht="18" customHeight="1" x14ac:dyDescent="0.25">
      <c r="A40" s="259"/>
      <c r="B40" s="267">
        <f>B39+1</f>
        <v>2</v>
      </c>
      <c r="C40" s="264">
        <f>IF(D40=0,0,IF(C39&gt;=180,0,IF(C39=0,0,C39+1)))</f>
        <v>3</v>
      </c>
      <c r="D40" s="265">
        <f t="shared" ref="D40:D98" si="19">IF(B40-1=$AO$101,AM40*$AO$102,IF(B40&gt;$AO$101,0,AM40))</f>
        <v>42744.566666666658</v>
      </c>
      <c r="E40" s="266">
        <f t="shared" ref="E40:E98" si="20">IF(B40-1=$AO$101,(SUM(VLOOKUP(AL40,$AI$39:$AJ$158,2,0)/$B$10*$K$30))*$AO$102,IF(B40&gt;$AO$101,0,(SUM(VLOOKUP(AL40,$AI$39:$AJ$158,2,0)/$B$10*$K$30))))</f>
        <v>32666.666666666664</v>
      </c>
      <c r="F40" s="266">
        <f t="shared" ref="F40:F50" si="21">IF(B40-1=$AO$101,(SUM(VLOOKUP(AL40,$AI$39:$AJ$159,2,0)*($G$15*(100%-$BB$31))))*$AO$102,IF(B40&gt;$AO$101,0,(SUM(VLOOKUP(AL40,$AI$39:$AJ$159,2,0)*($G$15*(100%-$BB$31))))))</f>
        <v>5880</v>
      </c>
      <c r="G40" s="266">
        <f t="shared" ref="G40:G98" si="22">F40*0.16</f>
        <v>940.80000000000007</v>
      </c>
      <c r="H40" s="266">
        <f t="shared" ref="H40:H98" si="23">IF(B40-1=$AO$101,(SUM(VLOOKUP(BA40,$AI$39:$AJ$158,2,0)*$I$15))*$AO$102,IF(B40&gt;$AO$101,0,(SUM(VLOOKUP(BA40,$AI$39:$AJ$158,2,0)*$I$15))))</f>
        <v>2100</v>
      </c>
      <c r="I40" s="266">
        <f t="shared" ref="I40:I98" si="24">IF(B40-1=$AO$101,(SUM(VLOOKUP(BA40,$AI$39:$AJ$158,2,0)*$J$15))*$AO$102,IF(B40&gt;$AO$101,0,(SUM(VLOOKUP(BA40,$AI$39:$AJ$158,2,0)*$J$15))))</f>
        <v>1157.1000000000001</v>
      </c>
      <c r="J40" s="435"/>
      <c r="K40" s="317">
        <f t="shared" ref="K40:K98" si="25">IF(J40=0,0,($AJ40/$B$10)*$AX40)</f>
        <v>0</v>
      </c>
      <c r="L40" s="317">
        <f t="shared" ref="L40:L50" si="26">IF(J40=0,0,($AJ40*$G$15)*$AX40)</f>
        <v>0</v>
      </c>
      <c r="M40" s="317">
        <f t="shared" ref="M40:M98" si="27">L40*0.16</f>
        <v>0</v>
      </c>
      <c r="N40" s="347">
        <f t="shared" ref="N40:N98" si="28">AX40</f>
        <v>0</v>
      </c>
      <c r="O40" s="267">
        <f>+O39+1</f>
        <v>62</v>
      </c>
      <c r="P40" s="264">
        <f t="shared" ref="P40:P86" si="29">IF(Q40=0,0,IF(P39&gt;=180,0,IF(P39=0,0,P39+1)))</f>
        <v>63</v>
      </c>
      <c r="Q40" s="265">
        <f t="shared" ref="Q40:Q93" si="30">IF(O40-1=$AO$101,AO40*$AO$102,IF(O40&gt;$AO$101,0,AO40))</f>
        <v>52005.301096830284</v>
      </c>
      <c r="R40" s="266">
        <f t="shared" ref="R40:R93" si="31">IF(O40-1=$AO$101,(SUM(VLOOKUP(AN40,$AI$39:$AJ$158,2,0)/$B$10*$K$30))*$AO$102,IF(O40&gt;$AO$101,0,(SUM(VLOOKUP(AN40,$AI$39:$AJ$158,2,0)/$B$10*$K$30))))</f>
        <v>39743.994811733326</v>
      </c>
      <c r="S40" s="266">
        <f t="shared" ref="S40:S93" si="32">IF(O40-1=$AO$101,(SUM(VLOOKUP(AN40,$AI$39:$AJ$159,2,0)*($G$15*(100%-$BB$31+$BB$29))))*$AO$102,IF(O40&gt;$AO$101,0,(SUM(VLOOKUP(AN40,$AI$39:$AJ$159,2,0)*($G$15*(100%-$BB$31+$BB$29))))))</f>
        <v>7153.9190661119992</v>
      </c>
      <c r="T40" s="266">
        <f t="shared" ref="T40:T93" si="33">S40*0.16</f>
        <v>1144.6270505779198</v>
      </c>
      <c r="U40" s="266">
        <f t="shared" ref="U40:U93" si="34">IF(O40-1=$AO$101,(SUM(VLOOKUP(AN40,$AI$39:$AJ$158,2,0)*$I$15))*$AO$102,IF(O40&gt;$AO$101,0,(SUM(VLOOKUP(AN40,$AI$39:$AJ$158,2,0)*$I$15))))</f>
        <v>2554.9710950399995</v>
      </c>
      <c r="V40" s="266">
        <f t="shared" ref="V40:V93" si="35">IF(O40-1=$AO$101,(SUM(VLOOKUP(AN40,$AI$39:$AJ$158,2,0)*$J$15))*$AO$102,IF(O40&gt;$AO$101,0,(SUM(VLOOKUP(AN40,$AI$39:$AJ$158,2,0)*$J$15))))</f>
        <v>1407.7890733670399</v>
      </c>
      <c r="W40" s="435"/>
      <c r="X40" s="317">
        <f t="shared" si="2"/>
        <v>0</v>
      </c>
      <c r="Y40" s="317">
        <f t="shared" si="3"/>
        <v>0</v>
      </c>
      <c r="Z40" s="317">
        <f t="shared" si="4"/>
        <v>0</v>
      </c>
      <c r="AA40" s="347">
        <f t="shared" ref="AA40:AA86" si="36">AY40</f>
        <v>0</v>
      </c>
      <c r="AB40" s="309"/>
      <c r="AC40" s="133"/>
      <c r="AD40" s="133"/>
      <c r="AE40" s="136"/>
      <c r="AF40" s="132"/>
      <c r="AG40" s="13">
        <f t="shared" ref="AG40:AG103" si="37">+AG39+1</f>
        <v>2</v>
      </c>
      <c r="AH40" s="14">
        <f t="shared" ref="AH40:AH50" si="38">AH39</f>
        <v>4200000</v>
      </c>
      <c r="AI40" s="54">
        <f>AI39+1</f>
        <v>3</v>
      </c>
      <c r="AJ40" s="55">
        <f>AJ39</f>
        <v>4200000</v>
      </c>
      <c r="AK40" s="59">
        <v>2</v>
      </c>
      <c r="AL40" s="44">
        <f>AL39+1</f>
        <v>3</v>
      </c>
      <c r="AM40" s="45">
        <f t="shared" ref="AM40:AM98" si="39">IFERROR(VLOOKUP(AL40,$BA$39:$BB$218,2,0),0)</f>
        <v>42744.566666666658</v>
      </c>
      <c r="AN40" s="44">
        <f>AN39+1</f>
        <v>63</v>
      </c>
      <c r="AO40" s="45">
        <f t="shared" si="5"/>
        <v>52005.301096830284</v>
      </c>
      <c r="AP40" s="3"/>
      <c r="AQ40" s="46">
        <f>AQ39+1</f>
        <v>3</v>
      </c>
      <c r="AR40" s="47">
        <f t="shared" ref="AR40:AR98" si="40">IFERROR(VLOOKUP(AQ40,$BD$39:$BE$218,2,0),0)</f>
        <v>30154.133333333331</v>
      </c>
      <c r="AS40" s="46">
        <f>AS39+1</f>
        <v>63</v>
      </c>
      <c r="AT40" s="47">
        <f t="shared" si="6"/>
        <v>36687.113839356578</v>
      </c>
      <c r="AU40" s="1"/>
      <c r="AV40" s="41">
        <f t="shared" si="7"/>
        <v>0</v>
      </c>
      <c r="AW40" s="41">
        <f t="shared" si="8"/>
        <v>0</v>
      </c>
      <c r="AX40" s="43">
        <f t="shared" si="9"/>
        <v>0</v>
      </c>
      <c r="AY40" s="43">
        <f t="shared" si="10"/>
        <v>0</v>
      </c>
      <c r="AZ40" s="11"/>
      <c r="BA40" s="36">
        <f>+BA39+1</f>
        <v>3</v>
      </c>
      <c r="BB40" s="35">
        <f t="shared" si="11"/>
        <v>42744.566666666658</v>
      </c>
      <c r="BC40" s="120"/>
      <c r="BD40" s="304">
        <f>+BD39+1</f>
        <v>3</v>
      </c>
      <c r="BE40" s="303">
        <f t="shared" ref="BE40:BE50" si="41">AJ40/$B$10+AJ40*$G$15*1.16</f>
        <v>30154.133333333331</v>
      </c>
      <c r="BF40" s="208"/>
      <c r="BG40" s="37">
        <f>BG39+1</f>
        <v>3</v>
      </c>
      <c r="BH40" s="8">
        <f t="shared" si="12"/>
        <v>341.03999999999996</v>
      </c>
      <c r="BI40" s="8"/>
      <c r="BJ40" s="37">
        <f>BJ39+1</f>
        <v>3</v>
      </c>
      <c r="BK40" s="8">
        <f t="shared" si="13"/>
        <v>0</v>
      </c>
      <c r="BL40" s="8"/>
      <c r="BM40" s="4">
        <v>2</v>
      </c>
      <c r="BN40" s="14">
        <f t="shared" si="14"/>
        <v>23333.333333333332</v>
      </c>
      <c r="BO40" s="14">
        <f t="shared" si="15"/>
        <v>5880</v>
      </c>
      <c r="BP40" s="14">
        <f t="shared" ref="BP40:BP98" si="42">BO40*0.16</f>
        <v>940.80000000000007</v>
      </c>
      <c r="BQ40" s="14">
        <f t="shared" si="16"/>
        <v>2100</v>
      </c>
      <c r="BR40" s="38">
        <f t="shared" si="17"/>
        <v>32254.133333333331</v>
      </c>
      <c r="BS40" s="1"/>
      <c r="BT40" s="4">
        <v>2</v>
      </c>
      <c r="BU40" s="14">
        <f>SUM(BN$39:BN40)</f>
        <v>46666.666666666664</v>
      </c>
      <c r="BV40" s="14">
        <f>SUM(BO$39:BO40)</f>
        <v>11760</v>
      </c>
      <c r="BW40" s="14">
        <f>SUM(BP$39:BP40)</f>
        <v>1881.6000000000001</v>
      </c>
      <c r="BX40" s="14">
        <f>SUM(BQ$39:BQ40)</f>
        <v>4200</v>
      </c>
      <c r="BY40" s="21">
        <f>SUM(BR$39:BR40)</f>
        <v>64508.266666666663</v>
      </c>
    </row>
    <row r="41" spans="1:77" s="96" customFormat="1" ht="18" customHeight="1" x14ac:dyDescent="0.25">
      <c r="A41" s="259"/>
      <c r="B41" s="267">
        <f>B40+1</f>
        <v>3</v>
      </c>
      <c r="C41" s="264">
        <f t="shared" ref="C41:C98" si="43">IF(D41=0,0,IF(C40&gt;=180,0,IF(C40=0,0,C40+1)))</f>
        <v>4</v>
      </c>
      <c r="D41" s="265">
        <f t="shared" si="19"/>
        <v>42744.566666666658</v>
      </c>
      <c r="E41" s="266">
        <f t="shared" si="20"/>
        <v>32666.666666666664</v>
      </c>
      <c r="F41" s="266">
        <f t="shared" si="21"/>
        <v>5880</v>
      </c>
      <c r="G41" s="266">
        <f t="shared" si="22"/>
        <v>940.80000000000007</v>
      </c>
      <c r="H41" s="266">
        <f t="shared" si="23"/>
        <v>2100</v>
      </c>
      <c r="I41" s="266">
        <f t="shared" si="24"/>
        <v>1157.1000000000001</v>
      </c>
      <c r="J41" s="435"/>
      <c r="K41" s="317">
        <f t="shared" si="25"/>
        <v>0</v>
      </c>
      <c r="L41" s="317">
        <f t="shared" si="26"/>
        <v>0</v>
      </c>
      <c r="M41" s="317">
        <f t="shared" si="27"/>
        <v>0</v>
      </c>
      <c r="N41" s="347">
        <f t="shared" si="28"/>
        <v>0</v>
      </c>
      <c r="O41" s="267">
        <f>+O40+1</f>
        <v>63</v>
      </c>
      <c r="P41" s="264">
        <f t="shared" si="29"/>
        <v>64</v>
      </c>
      <c r="Q41" s="265">
        <f t="shared" si="30"/>
        <v>52005.301096830284</v>
      </c>
      <c r="R41" s="266">
        <f t="shared" si="31"/>
        <v>39743.994811733326</v>
      </c>
      <c r="S41" s="266">
        <f t="shared" si="32"/>
        <v>7153.9190661119992</v>
      </c>
      <c r="T41" s="266">
        <f t="shared" si="33"/>
        <v>1144.6270505779198</v>
      </c>
      <c r="U41" s="266">
        <f t="shared" si="34"/>
        <v>2554.9710950399995</v>
      </c>
      <c r="V41" s="266">
        <f t="shared" si="35"/>
        <v>1407.7890733670399</v>
      </c>
      <c r="W41" s="435"/>
      <c r="X41" s="317">
        <f t="shared" si="2"/>
        <v>0</v>
      </c>
      <c r="Y41" s="317">
        <f t="shared" si="3"/>
        <v>0</v>
      </c>
      <c r="Z41" s="317">
        <f t="shared" si="4"/>
        <v>0</v>
      </c>
      <c r="AA41" s="347">
        <f t="shared" si="36"/>
        <v>0</v>
      </c>
      <c r="AB41" s="309"/>
      <c r="AC41" s="132"/>
      <c r="AD41" s="132"/>
      <c r="AE41" s="136"/>
      <c r="AF41" s="132"/>
      <c r="AG41" s="13">
        <f t="shared" si="37"/>
        <v>3</v>
      </c>
      <c r="AH41" s="14">
        <f t="shared" si="38"/>
        <v>4200000</v>
      </c>
      <c r="AI41" s="44">
        <f t="shared" ref="AI41:AI104" si="44">AI40+1</f>
        <v>4</v>
      </c>
      <c r="AJ41" s="55">
        <f t="shared" ref="AJ41:AJ50" si="45">AJ40</f>
        <v>4200000</v>
      </c>
      <c r="AK41" s="59">
        <v>3</v>
      </c>
      <c r="AL41" s="44">
        <f t="shared" ref="AL41:AL98" si="46">AL40+1</f>
        <v>4</v>
      </c>
      <c r="AM41" s="45">
        <f t="shared" si="39"/>
        <v>42744.566666666658</v>
      </c>
      <c r="AN41" s="44">
        <f>AN40+1</f>
        <v>64</v>
      </c>
      <c r="AO41" s="45">
        <f t="shared" si="5"/>
        <v>52005.301096830284</v>
      </c>
      <c r="AP41" s="3"/>
      <c r="AQ41" s="46">
        <f t="shared" ref="AQ41:AQ98" si="47">AQ40+1</f>
        <v>4</v>
      </c>
      <c r="AR41" s="47">
        <f t="shared" si="40"/>
        <v>30154.133333333331</v>
      </c>
      <c r="AS41" s="46">
        <f>AS40+1</f>
        <v>64</v>
      </c>
      <c r="AT41" s="47">
        <f t="shared" si="6"/>
        <v>36687.113839356578</v>
      </c>
      <c r="AU41" s="1"/>
      <c r="AV41" s="41">
        <f t="shared" si="7"/>
        <v>0</v>
      </c>
      <c r="AW41" s="41">
        <f t="shared" si="8"/>
        <v>0</v>
      </c>
      <c r="AX41" s="43">
        <f t="shared" si="9"/>
        <v>0</v>
      </c>
      <c r="AY41" s="43">
        <f t="shared" si="10"/>
        <v>0</v>
      </c>
      <c r="AZ41" s="11"/>
      <c r="BA41" s="36">
        <f t="shared" ref="BA41:BA71" si="48">+BA40+1</f>
        <v>4</v>
      </c>
      <c r="BB41" s="35">
        <f t="shared" si="11"/>
        <v>42744.566666666658</v>
      </c>
      <c r="BC41" s="120"/>
      <c r="BD41" s="304">
        <f t="shared" ref="BD41:BD71" si="49">+BD40+1</f>
        <v>4</v>
      </c>
      <c r="BE41" s="303">
        <f t="shared" si="41"/>
        <v>30154.133333333331</v>
      </c>
      <c r="BF41" s="208"/>
      <c r="BG41" s="37">
        <f t="shared" ref="BG41:BG104" si="50">BG40+1</f>
        <v>4</v>
      </c>
      <c r="BH41" s="8">
        <f t="shared" si="12"/>
        <v>341.03999999999996</v>
      </c>
      <c r="BI41" s="8"/>
      <c r="BJ41" s="37">
        <f t="shared" ref="BJ41:BJ104" si="51">BJ40+1</f>
        <v>4</v>
      </c>
      <c r="BK41" s="8">
        <f t="shared" si="13"/>
        <v>0</v>
      </c>
      <c r="BL41" s="8"/>
      <c r="BM41" s="4">
        <v>3</v>
      </c>
      <c r="BN41" s="14">
        <f t="shared" si="14"/>
        <v>23333.333333333332</v>
      </c>
      <c r="BO41" s="14">
        <f t="shared" si="15"/>
        <v>5880</v>
      </c>
      <c r="BP41" s="14">
        <f t="shared" si="42"/>
        <v>940.80000000000007</v>
      </c>
      <c r="BQ41" s="14">
        <f t="shared" si="16"/>
        <v>2100</v>
      </c>
      <c r="BR41" s="38">
        <f t="shared" si="17"/>
        <v>32254.133333333331</v>
      </c>
      <c r="BS41" s="1"/>
      <c r="BT41" s="4">
        <v>3</v>
      </c>
      <c r="BU41" s="14">
        <f>SUM(BN$39:BN41)</f>
        <v>70000</v>
      </c>
      <c r="BV41" s="14">
        <f>SUM(BO$39:BO41)</f>
        <v>17640</v>
      </c>
      <c r="BW41" s="14">
        <f>SUM(BP$39:BP41)</f>
        <v>2822.4</v>
      </c>
      <c r="BX41" s="14">
        <f>SUM(BQ$39:BQ41)</f>
        <v>6300</v>
      </c>
      <c r="BY41" s="21">
        <f>SUM(BR$39:BR41)</f>
        <v>96762.4</v>
      </c>
    </row>
    <row r="42" spans="1:77" s="96" customFormat="1" ht="18" customHeight="1" x14ac:dyDescent="0.25">
      <c r="A42" s="259"/>
      <c r="B42" s="267">
        <f t="shared" ref="B42:B98" si="52">B41+1</f>
        <v>4</v>
      </c>
      <c r="C42" s="264">
        <f t="shared" si="43"/>
        <v>5</v>
      </c>
      <c r="D42" s="265">
        <f t="shared" si="19"/>
        <v>42744.566666666658</v>
      </c>
      <c r="E42" s="266">
        <f t="shared" si="20"/>
        <v>32666.666666666664</v>
      </c>
      <c r="F42" s="266">
        <f t="shared" si="21"/>
        <v>5880</v>
      </c>
      <c r="G42" s="266">
        <f t="shared" si="22"/>
        <v>940.80000000000007</v>
      </c>
      <c r="H42" s="266">
        <f t="shared" si="23"/>
        <v>2100</v>
      </c>
      <c r="I42" s="266">
        <f t="shared" si="24"/>
        <v>1157.1000000000001</v>
      </c>
      <c r="J42" s="435"/>
      <c r="K42" s="317">
        <f t="shared" si="25"/>
        <v>0</v>
      </c>
      <c r="L42" s="317">
        <f t="shared" si="26"/>
        <v>0</v>
      </c>
      <c r="M42" s="317">
        <f t="shared" si="27"/>
        <v>0</v>
      </c>
      <c r="N42" s="347">
        <f t="shared" si="28"/>
        <v>0</v>
      </c>
      <c r="O42" s="267">
        <f t="shared" ref="O42:O93" si="53">+O41+1</f>
        <v>64</v>
      </c>
      <c r="P42" s="264">
        <f t="shared" si="29"/>
        <v>65</v>
      </c>
      <c r="Q42" s="265">
        <f t="shared" si="30"/>
        <v>52005.301096830284</v>
      </c>
      <c r="R42" s="266">
        <f t="shared" si="31"/>
        <v>39743.994811733326</v>
      </c>
      <c r="S42" s="266">
        <f t="shared" si="32"/>
        <v>7153.9190661119992</v>
      </c>
      <c r="T42" s="266">
        <f t="shared" si="33"/>
        <v>1144.6270505779198</v>
      </c>
      <c r="U42" s="266">
        <f t="shared" si="34"/>
        <v>2554.9710950399995</v>
      </c>
      <c r="V42" s="266">
        <f t="shared" si="35"/>
        <v>1407.7890733670399</v>
      </c>
      <c r="W42" s="435"/>
      <c r="X42" s="317">
        <f t="shared" si="2"/>
        <v>0</v>
      </c>
      <c r="Y42" s="317">
        <f t="shared" si="3"/>
        <v>0</v>
      </c>
      <c r="Z42" s="317">
        <f t="shared" si="4"/>
        <v>0</v>
      </c>
      <c r="AA42" s="347">
        <f t="shared" si="36"/>
        <v>0</v>
      </c>
      <c r="AB42" s="309"/>
      <c r="AC42" s="132"/>
      <c r="AD42" s="132"/>
      <c r="AE42" s="136"/>
      <c r="AF42" s="132"/>
      <c r="AG42" s="13">
        <f t="shared" si="37"/>
        <v>4</v>
      </c>
      <c r="AH42" s="14">
        <f t="shared" si="38"/>
        <v>4200000</v>
      </c>
      <c r="AI42" s="44">
        <f t="shared" si="44"/>
        <v>5</v>
      </c>
      <c r="AJ42" s="55">
        <f t="shared" si="45"/>
        <v>4200000</v>
      </c>
      <c r="AK42" s="59">
        <v>4</v>
      </c>
      <c r="AL42" s="44">
        <f t="shared" si="46"/>
        <v>5</v>
      </c>
      <c r="AM42" s="45">
        <f t="shared" si="39"/>
        <v>42744.566666666658</v>
      </c>
      <c r="AN42" s="44">
        <f>AN41+1</f>
        <v>65</v>
      </c>
      <c r="AO42" s="45">
        <f t="shared" si="5"/>
        <v>52005.301096830284</v>
      </c>
      <c r="AP42" s="3"/>
      <c r="AQ42" s="46">
        <f t="shared" si="47"/>
        <v>5</v>
      </c>
      <c r="AR42" s="47">
        <f t="shared" si="40"/>
        <v>30154.133333333331</v>
      </c>
      <c r="AS42" s="46">
        <f>AS41+1</f>
        <v>65</v>
      </c>
      <c r="AT42" s="47">
        <f t="shared" si="6"/>
        <v>36687.113839356578</v>
      </c>
      <c r="AU42" s="1"/>
      <c r="AV42" s="41">
        <f t="shared" si="7"/>
        <v>0</v>
      </c>
      <c r="AW42" s="41">
        <f t="shared" si="8"/>
        <v>0</v>
      </c>
      <c r="AX42" s="43">
        <f t="shared" si="9"/>
        <v>0</v>
      </c>
      <c r="AY42" s="43">
        <f t="shared" si="10"/>
        <v>0</v>
      </c>
      <c r="AZ42" s="11"/>
      <c r="BA42" s="36">
        <f t="shared" si="48"/>
        <v>5</v>
      </c>
      <c r="BB42" s="35">
        <f t="shared" si="11"/>
        <v>42744.566666666658</v>
      </c>
      <c r="BC42" s="120"/>
      <c r="BD42" s="304">
        <f t="shared" si="49"/>
        <v>5</v>
      </c>
      <c r="BE42" s="303">
        <f t="shared" si="41"/>
        <v>30154.133333333331</v>
      </c>
      <c r="BF42" s="208"/>
      <c r="BG42" s="37">
        <f t="shared" si="50"/>
        <v>5</v>
      </c>
      <c r="BH42" s="8">
        <f t="shared" si="12"/>
        <v>341.03999999999996</v>
      </c>
      <c r="BI42" s="8"/>
      <c r="BJ42" s="37">
        <f t="shared" si="51"/>
        <v>5</v>
      </c>
      <c r="BK42" s="8">
        <f t="shared" si="13"/>
        <v>0</v>
      </c>
      <c r="BL42" s="8"/>
      <c r="BM42" s="4">
        <v>4</v>
      </c>
      <c r="BN42" s="14">
        <f t="shared" si="14"/>
        <v>23333.333333333332</v>
      </c>
      <c r="BO42" s="14">
        <f t="shared" si="15"/>
        <v>5880</v>
      </c>
      <c r="BP42" s="14">
        <f t="shared" si="42"/>
        <v>940.80000000000007</v>
      </c>
      <c r="BQ42" s="14">
        <f t="shared" si="16"/>
        <v>2100</v>
      </c>
      <c r="BR42" s="38">
        <f t="shared" si="17"/>
        <v>32254.133333333331</v>
      </c>
      <c r="BS42" s="1"/>
      <c r="BT42" s="4">
        <v>4</v>
      </c>
      <c r="BU42" s="14">
        <f>SUM(BN$39:BN42)</f>
        <v>93333.333333333328</v>
      </c>
      <c r="BV42" s="14">
        <f>SUM(BO$39:BO42)</f>
        <v>23520</v>
      </c>
      <c r="BW42" s="14">
        <f>SUM(BP$39:BP42)</f>
        <v>3763.2000000000003</v>
      </c>
      <c r="BX42" s="14">
        <f>SUM(BQ$39:BQ42)</f>
        <v>8400</v>
      </c>
      <c r="BY42" s="21">
        <f>SUM(BR$39:BR42)</f>
        <v>129016.53333333333</v>
      </c>
    </row>
    <row r="43" spans="1:77" s="96" customFormat="1" ht="18" customHeight="1" x14ac:dyDescent="0.25">
      <c r="A43" s="259"/>
      <c r="B43" s="267">
        <f t="shared" si="52"/>
        <v>5</v>
      </c>
      <c r="C43" s="264">
        <f t="shared" si="43"/>
        <v>6</v>
      </c>
      <c r="D43" s="265">
        <f t="shared" si="19"/>
        <v>42744.566666666658</v>
      </c>
      <c r="E43" s="266">
        <f t="shared" si="20"/>
        <v>32666.666666666664</v>
      </c>
      <c r="F43" s="266">
        <f t="shared" si="21"/>
        <v>5880</v>
      </c>
      <c r="G43" s="266">
        <f t="shared" si="22"/>
        <v>940.80000000000007</v>
      </c>
      <c r="H43" s="266">
        <f t="shared" si="23"/>
        <v>2100</v>
      </c>
      <c r="I43" s="266">
        <f t="shared" si="24"/>
        <v>1157.1000000000001</v>
      </c>
      <c r="J43" s="435"/>
      <c r="K43" s="317">
        <f t="shared" si="25"/>
        <v>0</v>
      </c>
      <c r="L43" s="317">
        <f t="shared" si="26"/>
        <v>0</v>
      </c>
      <c r="M43" s="317">
        <f t="shared" si="27"/>
        <v>0</v>
      </c>
      <c r="N43" s="347">
        <f t="shared" si="28"/>
        <v>0</v>
      </c>
      <c r="O43" s="267">
        <f t="shared" si="53"/>
        <v>65</v>
      </c>
      <c r="P43" s="264">
        <f t="shared" si="29"/>
        <v>66</v>
      </c>
      <c r="Q43" s="265">
        <f t="shared" si="30"/>
        <v>52005.301096830284</v>
      </c>
      <c r="R43" s="266">
        <f t="shared" si="31"/>
        <v>39743.994811733326</v>
      </c>
      <c r="S43" s="266">
        <f t="shared" si="32"/>
        <v>7153.9190661119992</v>
      </c>
      <c r="T43" s="266">
        <f t="shared" si="33"/>
        <v>1144.6270505779198</v>
      </c>
      <c r="U43" s="266">
        <f t="shared" si="34"/>
        <v>2554.9710950399995</v>
      </c>
      <c r="V43" s="266">
        <f t="shared" si="35"/>
        <v>1407.7890733670399</v>
      </c>
      <c r="W43" s="435"/>
      <c r="X43" s="317">
        <f t="shared" si="2"/>
        <v>0</v>
      </c>
      <c r="Y43" s="317">
        <f t="shared" si="3"/>
        <v>0</v>
      </c>
      <c r="Z43" s="317">
        <f t="shared" si="4"/>
        <v>0</v>
      </c>
      <c r="AA43" s="347">
        <f t="shared" si="36"/>
        <v>0</v>
      </c>
      <c r="AB43" s="309"/>
      <c r="AC43" s="132"/>
      <c r="AD43" s="132"/>
      <c r="AE43" s="136"/>
      <c r="AF43" s="132"/>
      <c r="AG43" s="13">
        <f t="shared" si="37"/>
        <v>5</v>
      </c>
      <c r="AH43" s="14">
        <f t="shared" si="38"/>
        <v>4200000</v>
      </c>
      <c r="AI43" s="44">
        <f t="shared" si="44"/>
        <v>6</v>
      </c>
      <c r="AJ43" s="55">
        <f t="shared" si="45"/>
        <v>4200000</v>
      </c>
      <c r="AK43" s="59">
        <v>5</v>
      </c>
      <c r="AL43" s="44">
        <f t="shared" si="46"/>
        <v>6</v>
      </c>
      <c r="AM43" s="45">
        <f t="shared" si="39"/>
        <v>42744.566666666658</v>
      </c>
      <c r="AN43" s="44">
        <f>AN42+1</f>
        <v>66</v>
      </c>
      <c r="AO43" s="45">
        <f t="shared" si="5"/>
        <v>52005.301096830284</v>
      </c>
      <c r="AP43" s="11"/>
      <c r="AQ43" s="46">
        <f t="shared" si="47"/>
        <v>6</v>
      </c>
      <c r="AR43" s="47">
        <f t="shared" si="40"/>
        <v>30154.133333333331</v>
      </c>
      <c r="AS43" s="46">
        <f>AS42+1</f>
        <v>66</v>
      </c>
      <c r="AT43" s="47">
        <f>IFERROR(VLOOKUP(AS43,$BD$39:$BE$218,2,0),0)</f>
        <v>36687.113839356578</v>
      </c>
      <c r="AU43" s="1"/>
      <c r="AV43" s="41">
        <f t="shared" si="7"/>
        <v>0</v>
      </c>
      <c r="AW43" s="41">
        <f t="shared" si="8"/>
        <v>0</v>
      </c>
      <c r="AX43" s="43">
        <f t="shared" si="9"/>
        <v>0</v>
      </c>
      <c r="AY43" s="43">
        <f t="shared" si="10"/>
        <v>0</v>
      </c>
      <c r="AZ43" s="11"/>
      <c r="BA43" s="36">
        <f t="shared" si="48"/>
        <v>6</v>
      </c>
      <c r="BB43" s="35">
        <f t="shared" si="11"/>
        <v>42744.566666666658</v>
      </c>
      <c r="BC43" s="120"/>
      <c r="BD43" s="304">
        <f t="shared" si="49"/>
        <v>6</v>
      </c>
      <c r="BE43" s="303">
        <f t="shared" si="41"/>
        <v>30154.133333333331</v>
      </c>
      <c r="BF43" s="208"/>
      <c r="BG43" s="37">
        <f t="shared" si="50"/>
        <v>6</v>
      </c>
      <c r="BH43" s="8">
        <f t="shared" si="12"/>
        <v>341.03999999999996</v>
      </c>
      <c r="BI43" s="8"/>
      <c r="BJ43" s="37">
        <f t="shared" si="51"/>
        <v>6</v>
      </c>
      <c r="BK43" s="8">
        <f t="shared" si="13"/>
        <v>0</v>
      </c>
      <c r="BL43" s="8"/>
      <c r="BM43" s="4">
        <v>5</v>
      </c>
      <c r="BN43" s="14">
        <f t="shared" si="14"/>
        <v>23333.333333333332</v>
      </c>
      <c r="BO43" s="14">
        <f t="shared" si="15"/>
        <v>5880</v>
      </c>
      <c r="BP43" s="14">
        <f t="shared" si="42"/>
        <v>940.80000000000007</v>
      </c>
      <c r="BQ43" s="14">
        <f t="shared" si="16"/>
        <v>2100</v>
      </c>
      <c r="BR43" s="38">
        <f t="shared" si="17"/>
        <v>32254.133333333331</v>
      </c>
      <c r="BS43" s="1"/>
      <c r="BT43" s="4">
        <v>5</v>
      </c>
      <c r="BU43" s="14">
        <f>SUM(BN$39:BN43)</f>
        <v>116666.66666666666</v>
      </c>
      <c r="BV43" s="14">
        <f>SUM(BO$39:BO43)</f>
        <v>29400</v>
      </c>
      <c r="BW43" s="14">
        <f>SUM(BP$39:BP43)</f>
        <v>4704</v>
      </c>
      <c r="BX43" s="14">
        <f>SUM(BQ$39:BQ43)</f>
        <v>10500</v>
      </c>
      <c r="BY43" s="21">
        <f>SUM(BR$39:BR43)</f>
        <v>161270.66666666666</v>
      </c>
    </row>
    <row r="44" spans="1:77" s="96" customFormat="1" ht="18" customHeight="1" x14ac:dyDescent="0.25">
      <c r="A44" s="259"/>
      <c r="B44" s="267">
        <f t="shared" si="52"/>
        <v>6</v>
      </c>
      <c r="C44" s="264">
        <f t="shared" si="43"/>
        <v>7</v>
      </c>
      <c r="D44" s="265">
        <f t="shared" si="19"/>
        <v>42744.566666666658</v>
      </c>
      <c r="E44" s="266">
        <f t="shared" si="20"/>
        <v>32666.666666666664</v>
      </c>
      <c r="F44" s="266">
        <f t="shared" si="21"/>
        <v>5880</v>
      </c>
      <c r="G44" s="266">
        <f t="shared" si="22"/>
        <v>940.80000000000007</v>
      </c>
      <c r="H44" s="266">
        <f t="shared" si="23"/>
        <v>2100</v>
      </c>
      <c r="I44" s="266">
        <f t="shared" si="24"/>
        <v>1157.1000000000001</v>
      </c>
      <c r="J44" s="435"/>
      <c r="K44" s="317">
        <f t="shared" si="25"/>
        <v>0</v>
      </c>
      <c r="L44" s="317">
        <f t="shared" si="26"/>
        <v>0</v>
      </c>
      <c r="M44" s="317">
        <f t="shared" si="27"/>
        <v>0</v>
      </c>
      <c r="N44" s="347">
        <f t="shared" si="28"/>
        <v>0</v>
      </c>
      <c r="O44" s="267">
        <f t="shared" si="53"/>
        <v>66</v>
      </c>
      <c r="P44" s="264">
        <f t="shared" si="29"/>
        <v>67</v>
      </c>
      <c r="Q44" s="265">
        <f t="shared" si="30"/>
        <v>52005.301096830284</v>
      </c>
      <c r="R44" s="266">
        <f t="shared" si="31"/>
        <v>39743.994811733326</v>
      </c>
      <c r="S44" s="266">
        <f t="shared" si="32"/>
        <v>7153.9190661119992</v>
      </c>
      <c r="T44" s="266">
        <f t="shared" si="33"/>
        <v>1144.6270505779198</v>
      </c>
      <c r="U44" s="266">
        <f t="shared" si="34"/>
        <v>2554.9710950399995</v>
      </c>
      <c r="V44" s="266">
        <f t="shared" si="35"/>
        <v>1407.7890733670399</v>
      </c>
      <c r="W44" s="435"/>
      <c r="X44" s="317">
        <f t="shared" si="2"/>
        <v>0</v>
      </c>
      <c r="Y44" s="317">
        <f t="shared" si="3"/>
        <v>0</v>
      </c>
      <c r="Z44" s="317">
        <f t="shared" si="4"/>
        <v>0</v>
      </c>
      <c r="AA44" s="347">
        <f t="shared" si="36"/>
        <v>0</v>
      </c>
      <c r="AB44" s="309"/>
      <c r="AC44" s="132"/>
      <c r="AD44" s="132"/>
      <c r="AE44" s="136"/>
      <c r="AF44" s="132"/>
      <c r="AG44" s="13">
        <f t="shared" si="37"/>
        <v>6</v>
      </c>
      <c r="AH44" s="14">
        <f t="shared" si="38"/>
        <v>4200000</v>
      </c>
      <c r="AI44" s="44">
        <f t="shared" si="44"/>
        <v>7</v>
      </c>
      <c r="AJ44" s="55">
        <f t="shared" si="45"/>
        <v>4200000</v>
      </c>
      <c r="AK44" s="59">
        <v>6</v>
      </c>
      <c r="AL44" s="44">
        <f t="shared" si="46"/>
        <v>7</v>
      </c>
      <c r="AM44" s="45">
        <f t="shared" si="39"/>
        <v>42744.566666666658</v>
      </c>
      <c r="AN44" s="44">
        <f>AN43+1</f>
        <v>67</v>
      </c>
      <c r="AO44" s="45">
        <f t="shared" si="5"/>
        <v>52005.301096830284</v>
      </c>
      <c r="AP44" s="11"/>
      <c r="AQ44" s="46">
        <f t="shared" si="47"/>
        <v>7</v>
      </c>
      <c r="AR44" s="47">
        <f>IFERROR(VLOOKUP(AQ44,$BD$39:$BE$218,2,0),0)</f>
        <v>30154.133333333331</v>
      </c>
      <c r="AS44" s="46">
        <f>AS43+1</f>
        <v>67</v>
      </c>
      <c r="AT44" s="47">
        <f t="shared" si="6"/>
        <v>36687.113839356578</v>
      </c>
      <c r="AU44" s="1"/>
      <c r="AV44" s="41">
        <f t="shared" si="7"/>
        <v>0</v>
      </c>
      <c r="AW44" s="41">
        <f t="shared" si="8"/>
        <v>0</v>
      </c>
      <c r="AX44" s="43">
        <f t="shared" si="9"/>
        <v>0</v>
      </c>
      <c r="AY44" s="43">
        <f t="shared" si="10"/>
        <v>0</v>
      </c>
      <c r="AZ44" s="11"/>
      <c r="BA44" s="36">
        <f t="shared" si="48"/>
        <v>7</v>
      </c>
      <c r="BB44" s="35">
        <f t="shared" si="11"/>
        <v>42744.566666666658</v>
      </c>
      <c r="BC44" s="120"/>
      <c r="BD44" s="304">
        <f t="shared" si="49"/>
        <v>7</v>
      </c>
      <c r="BE44" s="303">
        <f t="shared" si="41"/>
        <v>30154.133333333331</v>
      </c>
      <c r="BF44" s="208"/>
      <c r="BG44" s="37">
        <f t="shared" si="50"/>
        <v>7</v>
      </c>
      <c r="BH44" s="8">
        <f t="shared" si="12"/>
        <v>341.03999999999996</v>
      </c>
      <c r="BI44" s="8"/>
      <c r="BJ44" s="37">
        <f t="shared" si="51"/>
        <v>7</v>
      </c>
      <c r="BK44" s="8">
        <f t="shared" si="13"/>
        <v>0</v>
      </c>
      <c r="BL44" s="8"/>
      <c r="BM44" s="4">
        <v>6</v>
      </c>
      <c r="BN44" s="14">
        <f t="shared" si="14"/>
        <v>23333.333333333332</v>
      </c>
      <c r="BO44" s="14">
        <f t="shared" si="15"/>
        <v>5880</v>
      </c>
      <c r="BP44" s="14">
        <f t="shared" si="42"/>
        <v>940.80000000000007</v>
      </c>
      <c r="BQ44" s="14">
        <f t="shared" si="16"/>
        <v>2100</v>
      </c>
      <c r="BR44" s="38">
        <f t="shared" si="17"/>
        <v>32254.133333333331</v>
      </c>
      <c r="BS44" s="1"/>
      <c r="BT44" s="4">
        <v>6</v>
      </c>
      <c r="BU44" s="14">
        <f>SUM(BN$39:BN44)</f>
        <v>140000</v>
      </c>
      <c r="BV44" s="14">
        <f>SUM(BO$39:BO44)</f>
        <v>35280</v>
      </c>
      <c r="BW44" s="14">
        <f>SUM(BP$39:BP44)</f>
        <v>5644.8</v>
      </c>
      <c r="BX44" s="14">
        <f>SUM(BQ$39:BQ44)</f>
        <v>12600</v>
      </c>
      <c r="BY44" s="21">
        <f>SUM(BR$39:BR44)</f>
        <v>193524.8</v>
      </c>
    </row>
    <row r="45" spans="1:77" s="96" customFormat="1" ht="18" customHeight="1" x14ac:dyDescent="0.25">
      <c r="A45" s="259"/>
      <c r="B45" s="267">
        <f t="shared" si="52"/>
        <v>7</v>
      </c>
      <c r="C45" s="264">
        <f t="shared" si="43"/>
        <v>8</v>
      </c>
      <c r="D45" s="265">
        <f t="shared" si="19"/>
        <v>42744.566666666658</v>
      </c>
      <c r="E45" s="266">
        <f t="shared" si="20"/>
        <v>32666.666666666664</v>
      </c>
      <c r="F45" s="266">
        <f t="shared" si="21"/>
        <v>5880</v>
      </c>
      <c r="G45" s="266">
        <f t="shared" si="22"/>
        <v>940.80000000000007</v>
      </c>
      <c r="H45" s="266">
        <f t="shared" si="23"/>
        <v>2100</v>
      </c>
      <c r="I45" s="266">
        <f t="shared" si="24"/>
        <v>1157.1000000000001</v>
      </c>
      <c r="J45" s="435"/>
      <c r="K45" s="317">
        <f t="shared" si="25"/>
        <v>0</v>
      </c>
      <c r="L45" s="317">
        <f t="shared" si="26"/>
        <v>0</v>
      </c>
      <c r="M45" s="317">
        <f t="shared" si="27"/>
        <v>0</v>
      </c>
      <c r="N45" s="347">
        <f t="shared" si="28"/>
        <v>0</v>
      </c>
      <c r="O45" s="267">
        <f t="shared" si="53"/>
        <v>67</v>
      </c>
      <c r="P45" s="264">
        <f t="shared" si="29"/>
        <v>68</v>
      </c>
      <c r="Q45" s="265">
        <f t="shared" si="30"/>
        <v>52005.301096830284</v>
      </c>
      <c r="R45" s="266">
        <f t="shared" si="31"/>
        <v>39743.994811733326</v>
      </c>
      <c r="S45" s="266">
        <f t="shared" si="32"/>
        <v>7153.9190661119992</v>
      </c>
      <c r="T45" s="266">
        <f t="shared" si="33"/>
        <v>1144.6270505779198</v>
      </c>
      <c r="U45" s="266">
        <f t="shared" si="34"/>
        <v>2554.9710950399995</v>
      </c>
      <c r="V45" s="266">
        <f t="shared" si="35"/>
        <v>1407.7890733670399</v>
      </c>
      <c r="W45" s="435"/>
      <c r="X45" s="317">
        <f t="shared" si="2"/>
        <v>0</v>
      </c>
      <c r="Y45" s="317">
        <f t="shared" si="3"/>
        <v>0</v>
      </c>
      <c r="Z45" s="317">
        <f t="shared" si="4"/>
        <v>0</v>
      </c>
      <c r="AA45" s="347">
        <f t="shared" si="36"/>
        <v>0</v>
      </c>
      <c r="AB45" s="309"/>
      <c r="AC45" s="132"/>
      <c r="AD45" s="136"/>
      <c r="AE45" s="136"/>
      <c r="AF45" s="132"/>
      <c r="AG45" s="13">
        <f t="shared" si="37"/>
        <v>7</v>
      </c>
      <c r="AH45" s="14">
        <f t="shared" si="38"/>
        <v>4200000</v>
      </c>
      <c r="AI45" s="44">
        <f t="shared" si="44"/>
        <v>8</v>
      </c>
      <c r="AJ45" s="55">
        <f t="shared" si="45"/>
        <v>4200000</v>
      </c>
      <c r="AK45" s="59">
        <v>7</v>
      </c>
      <c r="AL45" s="44">
        <f t="shared" si="46"/>
        <v>8</v>
      </c>
      <c r="AM45" s="45">
        <f t="shared" si="39"/>
        <v>42744.566666666658</v>
      </c>
      <c r="AN45" s="44">
        <f t="shared" ref="AN45:AN93" si="54">AN44+1</f>
        <v>68</v>
      </c>
      <c r="AO45" s="45">
        <f t="shared" si="5"/>
        <v>52005.301096830284</v>
      </c>
      <c r="AP45" s="11"/>
      <c r="AQ45" s="46">
        <f t="shared" si="47"/>
        <v>8</v>
      </c>
      <c r="AR45" s="47">
        <f t="shared" si="40"/>
        <v>30154.133333333331</v>
      </c>
      <c r="AS45" s="46">
        <f t="shared" ref="AS45:AS93" si="55">AS44+1</f>
        <v>68</v>
      </c>
      <c r="AT45" s="47">
        <f t="shared" si="6"/>
        <v>36687.113839356578</v>
      </c>
      <c r="AU45" s="1"/>
      <c r="AV45" s="41">
        <f t="shared" si="7"/>
        <v>0</v>
      </c>
      <c r="AW45" s="41">
        <f t="shared" si="8"/>
        <v>0</v>
      </c>
      <c r="AX45" s="43">
        <f t="shared" si="9"/>
        <v>0</v>
      </c>
      <c r="AY45" s="43">
        <f t="shared" si="10"/>
        <v>0</v>
      </c>
      <c r="AZ45" s="11"/>
      <c r="BA45" s="36">
        <f t="shared" si="48"/>
        <v>8</v>
      </c>
      <c r="BB45" s="35">
        <f t="shared" si="11"/>
        <v>42744.566666666658</v>
      </c>
      <c r="BC45" s="120"/>
      <c r="BD45" s="304">
        <f t="shared" si="49"/>
        <v>8</v>
      </c>
      <c r="BE45" s="303">
        <f t="shared" si="41"/>
        <v>30154.133333333331</v>
      </c>
      <c r="BF45" s="208"/>
      <c r="BG45" s="37">
        <f t="shared" si="50"/>
        <v>8</v>
      </c>
      <c r="BH45" s="8">
        <f t="shared" si="12"/>
        <v>341.03999999999996</v>
      </c>
      <c r="BI45" s="8"/>
      <c r="BJ45" s="37">
        <f t="shared" si="51"/>
        <v>8</v>
      </c>
      <c r="BK45" s="8">
        <f t="shared" si="13"/>
        <v>0</v>
      </c>
      <c r="BL45" s="8"/>
      <c r="BM45" s="4">
        <v>7</v>
      </c>
      <c r="BN45" s="14">
        <f t="shared" si="14"/>
        <v>23333.333333333332</v>
      </c>
      <c r="BO45" s="14">
        <f t="shared" si="15"/>
        <v>5880</v>
      </c>
      <c r="BP45" s="14">
        <f t="shared" si="42"/>
        <v>940.80000000000007</v>
      </c>
      <c r="BQ45" s="14">
        <f t="shared" si="16"/>
        <v>2100</v>
      </c>
      <c r="BR45" s="38">
        <f t="shared" si="17"/>
        <v>32254.133333333331</v>
      </c>
      <c r="BS45" s="1"/>
      <c r="BT45" s="4">
        <v>7</v>
      </c>
      <c r="BU45" s="14">
        <f>SUM(BN$39:BN45)</f>
        <v>163333.33333333334</v>
      </c>
      <c r="BV45" s="14">
        <f>SUM(BO$39:BO45)</f>
        <v>41160</v>
      </c>
      <c r="BW45" s="14">
        <f>SUM(BP$39:BP45)</f>
        <v>6585.6</v>
      </c>
      <c r="BX45" s="14">
        <f>SUM(BQ$39:BQ45)</f>
        <v>14700</v>
      </c>
      <c r="BY45" s="21">
        <f>SUM(BR$39:BR45)</f>
        <v>225778.93333333332</v>
      </c>
    </row>
    <row r="46" spans="1:77" s="96" customFormat="1" ht="18" customHeight="1" x14ac:dyDescent="0.25">
      <c r="A46" s="259"/>
      <c r="B46" s="267">
        <f t="shared" si="52"/>
        <v>8</v>
      </c>
      <c r="C46" s="264">
        <f t="shared" si="43"/>
        <v>9</v>
      </c>
      <c r="D46" s="265">
        <f t="shared" si="19"/>
        <v>42744.566666666658</v>
      </c>
      <c r="E46" s="266">
        <f t="shared" si="20"/>
        <v>32666.666666666664</v>
      </c>
      <c r="F46" s="266">
        <f t="shared" si="21"/>
        <v>5880</v>
      </c>
      <c r="G46" s="266">
        <f t="shared" si="22"/>
        <v>940.80000000000007</v>
      </c>
      <c r="H46" s="266">
        <f t="shared" si="23"/>
        <v>2100</v>
      </c>
      <c r="I46" s="266">
        <f t="shared" si="24"/>
        <v>1157.1000000000001</v>
      </c>
      <c r="J46" s="435"/>
      <c r="K46" s="317">
        <f t="shared" si="25"/>
        <v>0</v>
      </c>
      <c r="L46" s="317">
        <f>IF(J46=0,0,($AJ46*$G$15)*$AX46)</f>
        <v>0</v>
      </c>
      <c r="M46" s="317">
        <f t="shared" si="27"/>
        <v>0</v>
      </c>
      <c r="N46" s="347">
        <f t="shared" si="28"/>
        <v>0</v>
      </c>
      <c r="O46" s="267">
        <f t="shared" si="53"/>
        <v>68</v>
      </c>
      <c r="P46" s="264">
        <f t="shared" si="29"/>
        <v>69</v>
      </c>
      <c r="Q46" s="265">
        <f t="shared" si="30"/>
        <v>52005.301096830284</v>
      </c>
      <c r="R46" s="266">
        <f t="shared" si="31"/>
        <v>39743.994811733326</v>
      </c>
      <c r="S46" s="266">
        <f t="shared" si="32"/>
        <v>7153.9190661119992</v>
      </c>
      <c r="T46" s="266">
        <f t="shared" si="33"/>
        <v>1144.6270505779198</v>
      </c>
      <c r="U46" s="266">
        <f t="shared" si="34"/>
        <v>2554.9710950399995</v>
      </c>
      <c r="V46" s="266">
        <f t="shared" si="35"/>
        <v>1407.7890733670399</v>
      </c>
      <c r="W46" s="435"/>
      <c r="X46" s="317">
        <f t="shared" si="2"/>
        <v>0</v>
      </c>
      <c r="Y46" s="317">
        <f t="shared" si="3"/>
        <v>0</v>
      </c>
      <c r="Z46" s="317">
        <f t="shared" si="4"/>
        <v>0</v>
      </c>
      <c r="AA46" s="347">
        <f t="shared" si="36"/>
        <v>0</v>
      </c>
      <c r="AB46" s="309"/>
      <c r="AC46" s="132"/>
      <c r="AD46" s="136"/>
      <c r="AE46" s="136"/>
      <c r="AF46" s="132"/>
      <c r="AG46" s="13">
        <f t="shared" si="37"/>
        <v>8</v>
      </c>
      <c r="AH46" s="14">
        <f t="shared" si="38"/>
        <v>4200000</v>
      </c>
      <c r="AI46" s="44">
        <f t="shared" si="44"/>
        <v>9</v>
      </c>
      <c r="AJ46" s="55">
        <f t="shared" si="45"/>
        <v>4200000</v>
      </c>
      <c r="AK46" s="59">
        <v>8</v>
      </c>
      <c r="AL46" s="44">
        <f t="shared" si="46"/>
        <v>9</v>
      </c>
      <c r="AM46" s="45">
        <f t="shared" si="39"/>
        <v>42744.566666666658</v>
      </c>
      <c r="AN46" s="44">
        <f t="shared" si="54"/>
        <v>69</v>
      </c>
      <c r="AO46" s="45">
        <f t="shared" si="5"/>
        <v>52005.301096830284</v>
      </c>
      <c r="AP46" s="6"/>
      <c r="AQ46" s="46">
        <f t="shared" si="47"/>
        <v>9</v>
      </c>
      <c r="AR46" s="47">
        <f t="shared" si="40"/>
        <v>30154.133333333331</v>
      </c>
      <c r="AS46" s="46">
        <f t="shared" si="55"/>
        <v>69</v>
      </c>
      <c r="AT46" s="47">
        <f t="shared" si="6"/>
        <v>36687.113839356578</v>
      </c>
      <c r="AU46" s="1"/>
      <c r="AV46" s="41">
        <f t="shared" si="7"/>
        <v>0</v>
      </c>
      <c r="AW46" s="41">
        <f t="shared" si="8"/>
        <v>0</v>
      </c>
      <c r="AX46" s="43">
        <f t="shared" si="9"/>
        <v>0</v>
      </c>
      <c r="AY46" s="43">
        <f t="shared" si="10"/>
        <v>0</v>
      </c>
      <c r="AZ46" s="11"/>
      <c r="BA46" s="36">
        <f t="shared" si="48"/>
        <v>9</v>
      </c>
      <c r="BB46" s="35">
        <f t="shared" si="11"/>
        <v>42744.566666666658</v>
      </c>
      <c r="BC46" s="120"/>
      <c r="BD46" s="304">
        <f t="shared" si="49"/>
        <v>9</v>
      </c>
      <c r="BE46" s="303">
        <f t="shared" si="41"/>
        <v>30154.133333333331</v>
      </c>
      <c r="BF46" s="208"/>
      <c r="BG46" s="37">
        <f t="shared" si="50"/>
        <v>9</v>
      </c>
      <c r="BH46" s="8">
        <f t="shared" si="12"/>
        <v>341.03999999999996</v>
      </c>
      <c r="BI46" s="8"/>
      <c r="BJ46" s="37">
        <f t="shared" si="51"/>
        <v>9</v>
      </c>
      <c r="BK46" s="8">
        <f t="shared" si="13"/>
        <v>0</v>
      </c>
      <c r="BL46" s="8"/>
      <c r="BM46" s="4">
        <v>8</v>
      </c>
      <c r="BN46" s="14">
        <f t="shared" si="14"/>
        <v>23333.333333333332</v>
      </c>
      <c r="BO46" s="14">
        <f t="shared" si="15"/>
        <v>5880</v>
      </c>
      <c r="BP46" s="14">
        <f t="shared" si="42"/>
        <v>940.80000000000007</v>
      </c>
      <c r="BQ46" s="14">
        <f t="shared" si="16"/>
        <v>2100</v>
      </c>
      <c r="BR46" s="38">
        <f t="shared" si="17"/>
        <v>32254.133333333331</v>
      </c>
      <c r="BS46" s="1"/>
      <c r="BT46" s="4">
        <v>8</v>
      </c>
      <c r="BU46" s="14">
        <f>SUM(BN$39:BN46)</f>
        <v>186666.66666666669</v>
      </c>
      <c r="BV46" s="14">
        <f>SUM(BO$39:BO46)</f>
        <v>47040</v>
      </c>
      <c r="BW46" s="14">
        <f>SUM(BP$39:BP46)</f>
        <v>7526.4000000000005</v>
      </c>
      <c r="BX46" s="14">
        <f>SUM(BQ$39:BQ46)</f>
        <v>16800</v>
      </c>
      <c r="BY46" s="21">
        <f>SUM(BR$39:BR46)</f>
        <v>258033.06666666665</v>
      </c>
    </row>
    <row r="47" spans="1:77" s="96" customFormat="1" ht="18" customHeight="1" x14ac:dyDescent="0.25">
      <c r="A47" s="259"/>
      <c r="B47" s="267">
        <f t="shared" si="52"/>
        <v>9</v>
      </c>
      <c r="C47" s="264">
        <f t="shared" si="43"/>
        <v>10</v>
      </c>
      <c r="D47" s="265">
        <f t="shared" si="19"/>
        <v>42744.566666666658</v>
      </c>
      <c r="E47" s="266">
        <f t="shared" si="20"/>
        <v>32666.666666666664</v>
      </c>
      <c r="F47" s="266">
        <f t="shared" si="21"/>
        <v>5880</v>
      </c>
      <c r="G47" s="266">
        <f t="shared" si="22"/>
        <v>940.80000000000007</v>
      </c>
      <c r="H47" s="266">
        <f t="shared" si="23"/>
        <v>2100</v>
      </c>
      <c r="I47" s="266">
        <f t="shared" si="24"/>
        <v>1157.1000000000001</v>
      </c>
      <c r="J47" s="435"/>
      <c r="K47" s="317">
        <f t="shared" si="25"/>
        <v>0</v>
      </c>
      <c r="L47" s="317">
        <f t="shared" si="26"/>
        <v>0</v>
      </c>
      <c r="M47" s="317">
        <f t="shared" si="27"/>
        <v>0</v>
      </c>
      <c r="N47" s="347">
        <f t="shared" si="28"/>
        <v>0</v>
      </c>
      <c r="O47" s="267">
        <f t="shared" si="53"/>
        <v>69</v>
      </c>
      <c r="P47" s="264">
        <f t="shared" si="29"/>
        <v>70</v>
      </c>
      <c r="Q47" s="265">
        <f t="shared" si="30"/>
        <v>52005.301096830284</v>
      </c>
      <c r="R47" s="266">
        <f t="shared" si="31"/>
        <v>39743.994811733326</v>
      </c>
      <c r="S47" s="266">
        <f t="shared" si="32"/>
        <v>7153.9190661119992</v>
      </c>
      <c r="T47" s="266">
        <f t="shared" si="33"/>
        <v>1144.6270505779198</v>
      </c>
      <c r="U47" s="266">
        <f t="shared" si="34"/>
        <v>2554.9710950399995</v>
      </c>
      <c r="V47" s="266">
        <f t="shared" si="35"/>
        <v>1407.7890733670399</v>
      </c>
      <c r="W47" s="435"/>
      <c r="X47" s="317">
        <f t="shared" si="2"/>
        <v>0</v>
      </c>
      <c r="Y47" s="317">
        <f t="shared" si="3"/>
        <v>0</v>
      </c>
      <c r="Z47" s="317">
        <f t="shared" si="4"/>
        <v>0</v>
      </c>
      <c r="AA47" s="347">
        <f t="shared" si="36"/>
        <v>0</v>
      </c>
      <c r="AB47" s="309"/>
      <c r="AC47" s="132"/>
      <c r="AD47" s="136"/>
      <c r="AE47" s="136"/>
      <c r="AF47" s="132"/>
      <c r="AG47" s="13">
        <f t="shared" si="37"/>
        <v>9</v>
      </c>
      <c r="AH47" s="14">
        <f t="shared" si="38"/>
        <v>4200000</v>
      </c>
      <c r="AI47" s="44">
        <f t="shared" si="44"/>
        <v>10</v>
      </c>
      <c r="AJ47" s="55">
        <f t="shared" si="45"/>
        <v>4200000</v>
      </c>
      <c r="AK47" s="59">
        <v>9</v>
      </c>
      <c r="AL47" s="44">
        <f t="shared" si="46"/>
        <v>10</v>
      </c>
      <c r="AM47" s="45">
        <f t="shared" si="39"/>
        <v>42744.566666666658</v>
      </c>
      <c r="AN47" s="44">
        <f t="shared" si="54"/>
        <v>70</v>
      </c>
      <c r="AO47" s="45">
        <f t="shared" si="5"/>
        <v>52005.301096830284</v>
      </c>
      <c r="AP47" s="3"/>
      <c r="AQ47" s="46">
        <f t="shared" si="47"/>
        <v>10</v>
      </c>
      <c r="AR47" s="47">
        <f t="shared" si="40"/>
        <v>30154.133333333331</v>
      </c>
      <c r="AS47" s="46">
        <f t="shared" si="55"/>
        <v>70</v>
      </c>
      <c r="AT47" s="47">
        <f t="shared" si="6"/>
        <v>36687.113839356578</v>
      </c>
      <c r="AU47" s="1"/>
      <c r="AV47" s="41">
        <f t="shared" si="7"/>
        <v>0</v>
      </c>
      <c r="AW47" s="41">
        <f t="shared" si="8"/>
        <v>0</v>
      </c>
      <c r="AX47" s="43">
        <f t="shared" si="9"/>
        <v>0</v>
      </c>
      <c r="AY47" s="43">
        <f t="shared" si="10"/>
        <v>0</v>
      </c>
      <c r="AZ47" s="11"/>
      <c r="BA47" s="36">
        <f t="shared" si="48"/>
        <v>10</v>
      </c>
      <c r="BB47" s="35">
        <f t="shared" si="11"/>
        <v>42744.566666666658</v>
      </c>
      <c r="BC47" s="120"/>
      <c r="BD47" s="304">
        <f t="shared" si="49"/>
        <v>10</v>
      </c>
      <c r="BE47" s="303">
        <f t="shared" si="41"/>
        <v>30154.133333333331</v>
      </c>
      <c r="BF47" s="208"/>
      <c r="BG47" s="37">
        <f t="shared" si="50"/>
        <v>10</v>
      </c>
      <c r="BH47" s="8">
        <f t="shared" si="12"/>
        <v>341.03999999999996</v>
      </c>
      <c r="BI47" s="8"/>
      <c r="BJ47" s="37">
        <f t="shared" si="51"/>
        <v>10</v>
      </c>
      <c r="BK47" s="8">
        <f t="shared" si="13"/>
        <v>0</v>
      </c>
      <c r="BL47" s="8"/>
      <c r="BM47" s="4">
        <v>9</v>
      </c>
      <c r="BN47" s="14">
        <f t="shared" si="14"/>
        <v>23333.333333333332</v>
      </c>
      <c r="BO47" s="14">
        <f t="shared" si="15"/>
        <v>5880</v>
      </c>
      <c r="BP47" s="14">
        <f t="shared" si="42"/>
        <v>940.80000000000007</v>
      </c>
      <c r="BQ47" s="14">
        <f t="shared" si="16"/>
        <v>2100</v>
      </c>
      <c r="BR47" s="38">
        <f t="shared" si="17"/>
        <v>32254.133333333331</v>
      </c>
      <c r="BS47" s="1"/>
      <c r="BT47" s="4">
        <v>9</v>
      </c>
      <c r="BU47" s="14">
        <f>SUM(BN$39:BN47)</f>
        <v>210000.00000000003</v>
      </c>
      <c r="BV47" s="14">
        <f>SUM(BO$39:BO47)</f>
        <v>52920</v>
      </c>
      <c r="BW47" s="14">
        <f>SUM(BP$39:BP47)</f>
        <v>8467.2000000000007</v>
      </c>
      <c r="BX47" s="14">
        <f>SUM(BQ$39:BQ47)</f>
        <v>18900</v>
      </c>
      <c r="BY47" s="21">
        <f>SUM(BR$39:BR47)</f>
        <v>290287.19999999995</v>
      </c>
    </row>
    <row r="48" spans="1:77" s="96" customFormat="1" ht="18" customHeight="1" x14ac:dyDescent="0.25">
      <c r="A48" s="259"/>
      <c r="B48" s="267">
        <f t="shared" si="52"/>
        <v>10</v>
      </c>
      <c r="C48" s="264">
        <f t="shared" si="43"/>
        <v>11</v>
      </c>
      <c r="D48" s="265">
        <f t="shared" si="19"/>
        <v>42744.566666666658</v>
      </c>
      <c r="E48" s="266">
        <f t="shared" si="20"/>
        <v>32666.666666666664</v>
      </c>
      <c r="F48" s="266">
        <f t="shared" si="21"/>
        <v>5880</v>
      </c>
      <c r="G48" s="266">
        <f t="shared" si="22"/>
        <v>940.80000000000007</v>
      </c>
      <c r="H48" s="266">
        <f t="shared" si="23"/>
        <v>2100</v>
      </c>
      <c r="I48" s="266">
        <f t="shared" si="24"/>
        <v>1157.1000000000001</v>
      </c>
      <c r="J48" s="435"/>
      <c r="K48" s="317">
        <f t="shared" si="25"/>
        <v>0</v>
      </c>
      <c r="L48" s="317">
        <f t="shared" si="26"/>
        <v>0</v>
      </c>
      <c r="M48" s="317">
        <f t="shared" si="27"/>
        <v>0</v>
      </c>
      <c r="N48" s="347">
        <f t="shared" si="28"/>
        <v>0</v>
      </c>
      <c r="O48" s="267">
        <f t="shared" si="53"/>
        <v>70</v>
      </c>
      <c r="P48" s="264">
        <f t="shared" si="29"/>
        <v>71</v>
      </c>
      <c r="Q48" s="265">
        <f t="shared" si="30"/>
        <v>52005.301096830284</v>
      </c>
      <c r="R48" s="266">
        <f t="shared" si="31"/>
        <v>39743.994811733326</v>
      </c>
      <c r="S48" s="266">
        <f t="shared" si="32"/>
        <v>7153.9190661119992</v>
      </c>
      <c r="T48" s="266">
        <f t="shared" si="33"/>
        <v>1144.6270505779198</v>
      </c>
      <c r="U48" s="266">
        <f t="shared" si="34"/>
        <v>2554.9710950399995</v>
      </c>
      <c r="V48" s="266">
        <f t="shared" si="35"/>
        <v>1407.7890733670399</v>
      </c>
      <c r="W48" s="435"/>
      <c r="X48" s="317">
        <f t="shared" si="2"/>
        <v>0</v>
      </c>
      <c r="Y48" s="317">
        <f t="shared" si="3"/>
        <v>0</v>
      </c>
      <c r="Z48" s="317">
        <f t="shared" si="4"/>
        <v>0</v>
      </c>
      <c r="AA48" s="347">
        <f t="shared" si="36"/>
        <v>0</v>
      </c>
      <c r="AB48" s="309"/>
      <c r="AC48" s="132"/>
      <c r="AD48" s="136"/>
      <c r="AE48" s="136"/>
      <c r="AF48" s="132"/>
      <c r="AG48" s="13">
        <f t="shared" si="37"/>
        <v>10</v>
      </c>
      <c r="AH48" s="14">
        <f t="shared" si="38"/>
        <v>4200000</v>
      </c>
      <c r="AI48" s="44">
        <f t="shared" si="44"/>
        <v>11</v>
      </c>
      <c r="AJ48" s="55">
        <f t="shared" si="45"/>
        <v>4200000</v>
      </c>
      <c r="AK48" s="59">
        <v>10</v>
      </c>
      <c r="AL48" s="44">
        <f t="shared" si="46"/>
        <v>11</v>
      </c>
      <c r="AM48" s="45">
        <f t="shared" si="39"/>
        <v>42744.566666666658</v>
      </c>
      <c r="AN48" s="44">
        <f t="shared" si="54"/>
        <v>71</v>
      </c>
      <c r="AO48" s="45">
        <f t="shared" si="5"/>
        <v>52005.301096830284</v>
      </c>
      <c r="AP48"/>
      <c r="AQ48" s="46">
        <f t="shared" si="47"/>
        <v>11</v>
      </c>
      <c r="AR48" s="47">
        <f t="shared" si="40"/>
        <v>30154.133333333331</v>
      </c>
      <c r="AS48" s="46">
        <f t="shared" si="55"/>
        <v>71</v>
      </c>
      <c r="AT48" s="47">
        <f t="shared" si="6"/>
        <v>36687.113839356578</v>
      </c>
      <c r="AU48" s="1"/>
      <c r="AV48" s="41">
        <f t="shared" si="7"/>
        <v>0</v>
      </c>
      <c r="AW48" s="41">
        <f t="shared" si="8"/>
        <v>0</v>
      </c>
      <c r="AX48" s="43">
        <f t="shared" si="9"/>
        <v>0</v>
      </c>
      <c r="AY48" s="43">
        <f t="shared" si="10"/>
        <v>0</v>
      </c>
      <c r="AZ48" s="11"/>
      <c r="BA48" s="36">
        <f t="shared" si="48"/>
        <v>11</v>
      </c>
      <c r="BB48" s="35">
        <f t="shared" si="11"/>
        <v>42744.566666666658</v>
      </c>
      <c r="BC48" s="120"/>
      <c r="BD48" s="304">
        <f t="shared" si="49"/>
        <v>11</v>
      </c>
      <c r="BE48" s="303">
        <f t="shared" si="41"/>
        <v>30154.133333333331</v>
      </c>
      <c r="BF48" s="208"/>
      <c r="BG48" s="37">
        <f t="shared" si="50"/>
        <v>11</v>
      </c>
      <c r="BH48" s="8">
        <f t="shared" si="12"/>
        <v>341.03999999999996</v>
      </c>
      <c r="BI48" s="8"/>
      <c r="BJ48" s="37">
        <f t="shared" si="51"/>
        <v>11</v>
      </c>
      <c r="BK48" s="8">
        <f t="shared" si="13"/>
        <v>0</v>
      </c>
      <c r="BL48" s="8"/>
      <c r="BM48" s="4">
        <v>10</v>
      </c>
      <c r="BN48" s="14">
        <f t="shared" si="14"/>
        <v>23333.333333333332</v>
      </c>
      <c r="BO48" s="14">
        <f t="shared" si="15"/>
        <v>5880</v>
      </c>
      <c r="BP48" s="14">
        <f t="shared" si="42"/>
        <v>940.80000000000007</v>
      </c>
      <c r="BQ48" s="14">
        <f t="shared" si="16"/>
        <v>2100</v>
      </c>
      <c r="BR48" s="38">
        <f t="shared" si="17"/>
        <v>32254.133333333331</v>
      </c>
      <c r="BS48" s="1"/>
      <c r="BT48" s="4">
        <v>10</v>
      </c>
      <c r="BU48" s="14">
        <f>SUM(BN$39:BN48)</f>
        <v>233333.33333333337</v>
      </c>
      <c r="BV48" s="14">
        <f>SUM(BO$39:BO48)</f>
        <v>58800</v>
      </c>
      <c r="BW48" s="14">
        <f>SUM(BP$39:BP48)</f>
        <v>9408</v>
      </c>
      <c r="BX48" s="14">
        <f>SUM(BQ$39:BQ48)</f>
        <v>21000</v>
      </c>
      <c r="BY48" s="21">
        <f>SUM(BR$39:BR48)</f>
        <v>322541.33333333326</v>
      </c>
    </row>
    <row r="49" spans="1:77" s="96" customFormat="1" ht="18" customHeight="1" x14ac:dyDescent="0.25">
      <c r="A49" s="259"/>
      <c r="B49" s="267">
        <f t="shared" si="52"/>
        <v>11</v>
      </c>
      <c r="C49" s="264">
        <f t="shared" si="43"/>
        <v>12</v>
      </c>
      <c r="D49" s="265">
        <f t="shared" si="19"/>
        <v>42744.566666666658</v>
      </c>
      <c r="E49" s="266">
        <f t="shared" si="20"/>
        <v>32666.666666666664</v>
      </c>
      <c r="F49" s="266">
        <f t="shared" si="21"/>
        <v>5880</v>
      </c>
      <c r="G49" s="266">
        <f t="shared" si="22"/>
        <v>940.80000000000007</v>
      </c>
      <c r="H49" s="266">
        <f t="shared" si="23"/>
        <v>2100</v>
      </c>
      <c r="I49" s="266">
        <f t="shared" si="24"/>
        <v>1157.1000000000001</v>
      </c>
      <c r="J49" s="435"/>
      <c r="K49" s="317">
        <f t="shared" si="25"/>
        <v>0</v>
      </c>
      <c r="L49" s="317">
        <f t="shared" si="26"/>
        <v>0</v>
      </c>
      <c r="M49" s="317">
        <f t="shared" si="27"/>
        <v>0</v>
      </c>
      <c r="N49" s="347">
        <f t="shared" si="28"/>
        <v>0</v>
      </c>
      <c r="O49" s="267">
        <f t="shared" si="53"/>
        <v>71</v>
      </c>
      <c r="P49" s="264">
        <f t="shared" si="29"/>
        <v>72</v>
      </c>
      <c r="Q49" s="265">
        <f t="shared" si="30"/>
        <v>52005.301096830284</v>
      </c>
      <c r="R49" s="266">
        <f t="shared" si="31"/>
        <v>39743.994811733326</v>
      </c>
      <c r="S49" s="266">
        <f t="shared" si="32"/>
        <v>7153.9190661119992</v>
      </c>
      <c r="T49" s="266">
        <f t="shared" si="33"/>
        <v>1144.6270505779198</v>
      </c>
      <c r="U49" s="266">
        <f t="shared" si="34"/>
        <v>2554.9710950399995</v>
      </c>
      <c r="V49" s="266">
        <f t="shared" si="35"/>
        <v>1407.7890733670399</v>
      </c>
      <c r="W49" s="435"/>
      <c r="X49" s="317">
        <f t="shared" si="2"/>
        <v>0</v>
      </c>
      <c r="Y49" s="317">
        <f t="shared" si="3"/>
        <v>0</v>
      </c>
      <c r="Z49" s="317">
        <f t="shared" si="4"/>
        <v>0</v>
      </c>
      <c r="AA49" s="347">
        <f t="shared" si="36"/>
        <v>0</v>
      </c>
      <c r="AB49" s="309"/>
      <c r="AC49" s="132"/>
      <c r="AD49" s="136"/>
      <c r="AE49" s="136"/>
      <c r="AF49" s="136"/>
      <c r="AG49" s="13">
        <f t="shared" si="37"/>
        <v>11</v>
      </c>
      <c r="AH49" s="14">
        <f t="shared" si="38"/>
        <v>4200000</v>
      </c>
      <c r="AI49" s="44">
        <f t="shared" si="44"/>
        <v>12</v>
      </c>
      <c r="AJ49" s="55">
        <f t="shared" si="45"/>
        <v>4200000</v>
      </c>
      <c r="AK49" s="59">
        <v>11</v>
      </c>
      <c r="AL49" s="44">
        <f t="shared" si="46"/>
        <v>12</v>
      </c>
      <c r="AM49" s="45">
        <f t="shared" si="39"/>
        <v>42744.566666666658</v>
      </c>
      <c r="AN49" s="44">
        <f t="shared" si="54"/>
        <v>72</v>
      </c>
      <c r="AO49" s="45">
        <f t="shared" si="5"/>
        <v>52005.301096830284</v>
      </c>
      <c r="AP49"/>
      <c r="AQ49" s="46">
        <f t="shared" si="47"/>
        <v>12</v>
      </c>
      <c r="AR49" s="47">
        <f t="shared" si="40"/>
        <v>30154.133333333331</v>
      </c>
      <c r="AS49" s="46">
        <f t="shared" si="55"/>
        <v>72</v>
      </c>
      <c r="AT49" s="47">
        <f t="shared" si="6"/>
        <v>36687.113839356578</v>
      </c>
      <c r="AU49" s="1"/>
      <c r="AV49" s="41">
        <f t="shared" si="7"/>
        <v>0</v>
      </c>
      <c r="AW49" s="41">
        <f t="shared" si="8"/>
        <v>0</v>
      </c>
      <c r="AX49" s="43">
        <f t="shared" si="9"/>
        <v>0</v>
      </c>
      <c r="AY49" s="43">
        <f t="shared" si="10"/>
        <v>0</v>
      </c>
      <c r="AZ49" s="11"/>
      <c r="BA49" s="36">
        <f t="shared" si="48"/>
        <v>12</v>
      </c>
      <c r="BB49" s="35">
        <f t="shared" si="11"/>
        <v>42744.566666666658</v>
      </c>
      <c r="BC49" s="120"/>
      <c r="BD49" s="304">
        <f t="shared" si="49"/>
        <v>12</v>
      </c>
      <c r="BE49" s="303">
        <f t="shared" si="41"/>
        <v>30154.133333333331</v>
      </c>
      <c r="BF49" s="208"/>
      <c r="BG49" s="37">
        <f t="shared" si="50"/>
        <v>12</v>
      </c>
      <c r="BH49" s="8">
        <f t="shared" si="12"/>
        <v>341.03999999999996</v>
      </c>
      <c r="BI49" s="8"/>
      <c r="BJ49" s="37">
        <f t="shared" si="51"/>
        <v>12</v>
      </c>
      <c r="BK49" s="8">
        <f t="shared" si="13"/>
        <v>0</v>
      </c>
      <c r="BL49" s="8"/>
      <c r="BM49" s="4">
        <v>11</v>
      </c>
      <c r="BN49" s="14">
        <f t="shared" si="14"/>
        <v>23333.333333333332</v>
      </c>
      <c r="BO49" s="14">
        <f t="shared" si="15"/>
        <v>5880</v>
      </c>
      <c r="BP49" s="14">
        <f t="shared" si="42"/>
        <v>940.80000000000007</v>
      </c>
      <c r="BQ49" s="14">
        <f t="shared" si="16"/>
        <v>2100</v>
      </c>
      <c r="BR49" s="38">
        <f t="shared" si="17"/>
        <v>32254.133333333331</v>
      </c>
      <c r="BS49" s="1"/>
      <c r="BT49" s="4">
        <v>11</v>
      </c>
      <c r="BU49" s="14">
        <f>SUM(BN$39:BN49)</f>
        <v>256666.66666666672</v>
      </c>
      <c r="BV49" s="14">
        <f>SUM(BO$39:BO49)</f>
        <v>64680</v>
      </c>
      <c r="BW49" s="14">
        <f>SUM(BP$39:BP49)</f>
        <v>10348.799999999999</v>
      </c>
      <c r="BX49" s="14">
        <f>SUM(BQ$39:BQ49)</f>
        <v>23100</v>
      </c>
      <c r="BY49" s="21">
        <f>SUM(BR$39:BR49)</f>
        <v>354795.46666666656</v>
      </c>
    </row>
    <row r="50" spans="1:77" s="96" customFormat="1" ht="18" customHeight="1" x14ac:dyDescent="0.25">
      <c r="A50" s="259"/>
      <c r="B50" s="267">
        <f t="shared" si="52"/>
        <v>12</v>
      </c>
      <c r="C50" s="264">
        <f t="shared" si="43"/>
        <v>13</v>
      </c>
      <c r="D50" s="265">
        <f t="shared" si="19"/>
        <v>42744.566666666658</v>
      </c>
      <c r="E50" s="266">
        <f t="shared" si="20"/>
        <v>32666.666666666664</v>
      </c>
      <c r="F50" s="266">
        <f t="shared" si="21"/>
        <v>5880</v>
      </c>
      <c r="G50" s="266">
        <f t="shared" si="22"/>
        <v>940.80000000000007</v>
      </c>
      <c r="H50" s="266">
        <f t="shared" si="23"/>
        <v>2100</v>
      </c>
      <c r="I50" s="266">
        <f t="shared" si="24"/>
        <v>1157.1000000000001</v>
      </c>
      <c r="J50" s="435"/>
      <c r="K50" s="317">
        <f t="shared" si="25"/>
        <v>0</v>
      </c>
      <c r="L50" s="317">
        <f t="shared" si="26"/>
        <v>0</v>
      </c>
      <c r="M50" s="317">
        <f t="shared" si="27"/>
        <v>0</v>
      </c>
      <c r="N50" s="347">
        <f t="shared" si="28"/>
        <v>0</v>
      </c>
      <c r="O50" s="267">
        <f t="shared" si="53"/>
        <v>72</v>
      </c>
      <c r="P50" s="264">
        <f t="shared" si="29"/>
        <v>73</v>
      </c>
      <c r="Q50" s="265">
        <f t="shared" si="30"/>
        <v>52005.301096830284</v>
      </c>
      <c r="R50" s="266">
        <f t="shared" si="31"/>
        <v>39743.994811733326</v>
      </c>
      <c r="S50" s="266">
        <f t="shared" si="32"/>
        <v>7153.9190661119992</v>
      </c>
      <c r="T50" s="266">
        <f t="shared" si="33"/>
        <v>1144.6270505779198</v>
      </c>
      <c r="U50" s="266">
        <f t="shared" si="34"/>
        <v>2554.9710950399995</v>
      </c>
      <c r="V50" s="266">
        <f t="shared" si="35"/>
        <v>1407.7890733670399</v>
      </c>
      <c r="W50" s="435"/>
      <c r="X50" s="317">
        <f t="shared" si="2"/>
        <v>0</v>
      </c>
      <c r="Y50" s="317">
        <f t="shared" si="3"/>
        <v>0</v>
      </c>
      <c r="Z50" s="317">
        <f t="shared" si="4"/>
        <v>0</v>
      </c>
      <c r="AA50" s="347">
        <f t="shared" si="36"/>
        <v>0</v>
      </c>
      <c r="AB50" s="309"/>
      <c r="AC50" s="132"/>
      <c r="AD50" s="136"/>
      <c r="AE50" s="136"/>
      <c r="AF50" s="136"/>
      <c r="AG50" s="13">
        <f t="shared" si="37"/>
        <v>12</v>
      </c>
      <c r="AH50" s="14">
        <f t="shared" si="38"/>
        <v>4200000</v>
      </c>
      <c r="AI50" s="44">
        <f t="shared" si="44"/>
        <v>13</v>
      </c>
      <c r="AJ50" s="55">
        <f t="shared" si="45"/>
        <v>4200000</v>
      </c>
      <c r="AK50" s="59">
        <v>12</v>
      </c>
      <c r="AL50" s="44">
        <f t="shared" si="46"/>
        <v>13</v>
      </c>
      <c r="AM50" s="45">
        <f t="shared" si="39"/>
        <v>42744.566666666658</v>
      </c>
      <c r="AN50" s="44">
        <f t="shared" si="54"/>
        <v>73</v>
      </c>
      <c r="AO50" s="45">
        <f t="shared" si="5"/>
        <v>52005.301096830284</v>
      </c>
      <c r="AP50"/>
      <c r="AQ50" s="46">
        <f t="shared" si="47"/>
        <v>13</v>
      </c>
      <c r="AR50" s="47">
        <f t="shared" si="40"/>
        <v>30154.133333333331</v>
      </c>
      <c r="AS50" s="46">
        <f t="shared" si="55"/>
        <v>73</v>
      </c>
      <c r="AT50" s="47">
        <f t="shared" si="6"/>
        <v>36687.113839356578</v>
      </c>
      <c r="AU50" s="1"/>
      <c r="AV50" s="41">
        <f t="shared" si="7"/>
        <v>0</v>
      </c>
      <c r="AW50" s="41">
        <f t="shared" si="8"/>
        <v>0</v>
      </c>
      <c r="AX50" s="43">
        <f t="shared" si="9"/>
        <v>0</v>
      </c>
      <c r="AY50" s="43">
        <f t="shared" si="10"/>
        <v>0</v>
      </c>
      <c r="AZ50" s="11"/>
      <c r="BA50" s="36">
        <f t="shared" si="48"/>
        <v>13</v>
      </c>
      <c r="BB50" s="35">
        <f t="shared" si="11"/>
        <v>42744.566666666658</v>
      </c>
      <c r="BC50" s="120"/>
      <c r="BD50" s="304">
        <f t="shared" si="49"/>
        <v>13</v>
      </c>
      <c r="BE50" s="303">
        <f t="shared" si="41"/>
        <v>30154.133333333331</v>
      </c>
      <c r="BF50" s="208"/>
      <c r="BG50" s="37">
        <f t="shared" si="50"/>
        <v>13</v>
      </c>
      <c r="BH50" s="8">
        <f t="shared" si="12"/>
        <v>341.03999999999996</v>
      </c>
      <c r="BI50" s="8"/>
      <c r="BJ50" s="37">
        <f t="shared" si="51"/>
        <v>13</v>
      </c>
      <c r="BK50" s="8">
        <f t="shared" si="13"/>
        <v>0</v>
      </c>
      <c r="BL50" s="8"/>
      <c r="BM50" s="4">
        <v>12</v>
      </c>
      <c r="BN50" s="14">
        <f t="shared" si="14"/>
        <v>23333.333333333332</v>
      </c>
      <c r="BO50" s="14">
        <f t="shared" si="15"/>
        <v>5880</v>
      </c>
      <c r="BP50" s="14">
        <f t="shared" si="42"/>
        <v>940.80000000000007</v>
      </c>
      <c r="BQ50" s="14">
        <f t="shared" si="16"/>
        <v>2100</v>
      </c>
      <c r="BR50" s="38">
        <f t="shared" si="17"/>
        <v>32254.133333333331</v>
      </c>
      <c r="BS50" s="1"/>
      <c r="BT50" s="4">
        <v>12</v>
      </c>
      <c r="BU50" s="14">
        <f>SUM(BN$39:BN50)</f>
        <v>280000.00000000006</v>
      </c>
      <c r="BV50" s="14">
        <f>SUM(BO$39:BO50)</f>
        <v>70560</v>
      </c>
      <c r="BW50" s="14">
        <f>SUM(BP$39:BP50)</f>
        <v>11289.599999999999</v>
      </c>
      <c r="BX50" s="14">
        <f>SUM(BQ$39:BQ50)</f>
        <v>25200</v>
      </c>
      <c r="BY50" s="21">
        <f>SUM(BR$39:BR50)</f>
        <v>387049.59999999986</v>
      </c>
    </row>
    <row r="51" spans="1:77" s="96" customFormat="1" ht="18" customHeight="1" x14ac:dyDescent="0.25">
      <c r="A51" s="259"/>
      <c r="B51" s="267">
        <f t="shared" si="52"/>
        <v>13</v>
      </c>
      <c r="C51" s="264">
        <f t="shared" si="43"/>
        <v>14</v>
      </c>
      <c r="D51" s="265">
        <f t="shared" si="19"/>
        <v>44454.349333333332</v>
      </c>
      <c r="E51" s="266">
        <f t="shared" si="20"/>
        <v>33973.333333333336</v>
      </c>
      <c r="F51" s="266">
        <f>IF(B51-1=$AO$101,(SUM(VLOOKUP(AL51,$AI$39:$AJ$159,2,0)*($G$15*(100%-$BB$31+$BB$29))))*$AO$102,IF(B51&gt;$AO$101,0,(SUM(VLOOKUP(AL51,$AI$39:$AJ$159,2,0)*($G$15*(100%-$BB$31+$BB$29))))))</f>
        <v>6115.2</v>
      </c>
      <c r="G51" s="266">
        <f t="shared" si="22"/>
        <v>978.43200000000002</v>
      </c>
      <c r="H51" s="266">
        <f t="shared" si="23"/>
        <v>2184</v>
      </c>
      <c r="I51" s="266">
        <f t="shared" si="24"/>
        <v>1203.384</v>
      </c>
      <c r="J51" s="435">
        <f>'Resumen Flex'!K37</f>
        <v>0</v>
      </c>
      <c r="K51" s="317">
        <f t="shared" si="25"/>
        <v>0</v>
      </c>
      <c r="L51" s="317">
        <f t="shared" ref="L51:L62" si="56">IF(J51=0,0,($AJ51*$G$15*(100%-$BE$27)*$AX51))</f>
        <v>0</v>
      </c>
      <c r="M51" s="317">
        <f t="shared" si="27"/>
        <v>0</v>
      </c>
      <c r="N51" s="347">
        <f t="shared" si="28"/>
        <v>0</v>
      </c>
      <c r="O51" s="267">
        <f t="shared" si="53"/>
        <v>73</v>
      </c>
      <c r="P51" s="264">
        <f t="shared" si="29"/>
        <v>74</v>
      </c>
      <c r="Q51" s="265">
        <f t="shared" si="30"/>
        <v>54085.513140703493</v>
      </c>
      <c r="R51" s="266">
        <f t="shared" si="31"/>
        <v>41333.754604202659</v>
      </c>
      <c r="S51" s="266">
        <f t="shared" si="32"/>
        <v>7440.0758287564786</v>
      </c>
      <c r="T51" s="266">
        <f t="shared" si="33"/>
        <v>1190.4121326010365</v>
      </c>
      <c r="U51" s="266">
        <f t="shared" si="34"/>
        <v>2657.1699388415996</v>
      </c>
      <c r="V51" s="266">
        <f t="shared" si="35"/>
        <v>1464.1006363017216</v>
      </c>
      <c r="W51" s="435">
        <f>'Resumen Flex'!K42</f>
        <v>0</v>
      </c>
      <c r="X51" s="317">
        <f t="shared" si="2"/>
        <v>0</v>
      </c>
      <c r="Y51" s="317">
        <f t="shared" si="3"/>
        <v>0</v>
      </c>
      <c r="Z51" s="317">
        <f t="shared" si="4"/>
        <v>0</v>
      </c>
      <c r="AA51" s="347">
        <f t="shared" si="36"/>
        <v>0</v>
      </c>
      <c r="AB51" s="309"/>
      <c r="AC51" s="136"/>
      <c r="AD51" s="136"/>
      <c r="AE51" s="136"/>
      <c r="AF51" s="136"/>
      <c r="AG51" s="13">
        <f t="shared" si="37"/>
        <v>13</v>
      </c>
      <c r="AH51" s="14">
        <f>((AH50)+(AH50*$D$29))</f>
        <v>4615800</v>
      </c>
      <c r="AI51" s="44">
        <f t="shared" si="44"/>
        <v>14</v>
      </c>
      <c r="AJ51" s="55">
        <f>((AJ50)+(AJ50*$E$29))</f>
        <v>4368000</v>
      </c>
      <c r="AK51" s="59">
        <v>1</v>
      </c>
      <c r="AL51" s="44">
        <f t="shared" si="46"/>
        <v>14</v>
      </c>
      <c r="AM51" s="45">
        <f t="shared" si="39"/>
        <v>44454.349333333332</v>
      </c>
      <c r="AN51" s="44">
        <f t="shared" si="54"/>
        <v>74</v>
      </c>
      <c r="AO51" s="45">
        <f t="shared" si="5"/>
        <v>54085.513140703493</v>
      </c>
      <c r="AP51"/>
      <c r="AQ51" s="46">
        <f t="shared" si="47"/>
        <v>14</v>
      </c>
      <c r="AR51" s="47">
        <f t="shared" si="40"/>
        <v>31360.298666666666</v>
      </c>
      <c r="AS51" s="46">
        <f t="shared" si="55"/>
        <v>74</v>
      </c>
      <c r="AT51" s="47">
        <f t="shared" si="6"/>
        <v>38154.598392930842</v>
      </c>
      <c r="AU51" s="1"/>
      <c r="AV51" s="41">
        <f t="shared" si="7"/>
        <v>0</v>
      </c>
      <c r="AW51" s="41">
        <f t="shared" si="8"/>
        <v>0</v>
      </c>
      <c r="AX51" s="43">
        <f t="shared" si="9"/>
        <v>0</v>
      </c>
      <c r="AY51" s="43">
        <f t="shared" si="10"/>
        <v>0</v>
      </c>
      <c r="AZ51" s="11"/>
      <c r="BA51" s="36">
        <f t="shared" si="48"/>
        <v>14</v>
      </c>
      <c r="BB51" s="35">
        <f t="shared" ref="BB51:BB82" si="57">SUM(VLOOKUP(BA51,$AI$39:$AJ$158,2,0)/$B$10*$K$30,VLOOKUP(BA51,$AI$39:$AJ$158,2,0)*($G$15*(100%-$BB$31+$BB$29))*1.16,VLOOKUP(BA51,$AI$39:$AJ$158,2,0)*$I$15,VLOOKUP(BA51,$AI$39:$AJ$158,2,0)*$J$15)</f>
        <v>44454.349333333332</v>
      </c>
      <c r="BC51" s="120"/>
      <c r="BD51" s="305">
        <f t="shared" si="49"/>
        <v>14</v>
      </c>
      <c r="BE51" s="303">
        <f t="shared" ref="BE51:BE62" si="58">AJ51/$B$10+AJ51*($G$15*(100%-$BE$27)*1.16)</f>
        <v>31360.298666666666</v>
      </c>
      <c r="BF51" s="208"/>
      <c r="BG51" s="37">
        <f t="shared" si="50"/>
        <v>14</v>
      </c>
      <c r="BH51" s="8">
        <f t="shared" si="12"/>
        <v>354.68159999999995</v>
      </c>
      <c r="BI51" s="8"/>
      <c r="BJ51" s="37">
        <f t="shared" si="51"/>
        <v>14</v>
      </c>
      <c r="BK51" s="8">
        <f t="shared" si="13"/>
        <v>0</v>
      </c>
      <c r="BL51" s="8"/>
      <c r="BM51" s="4">
        <v>13</v>
      </c>
      <c r="BN51" s="14">
        <f t="shared" si="14"/>
        <v>25643.333333333332</v>
      </c>
      <c r="BO51" s="14">
        <f t="shared" si="15"/>
        <v>6462.12</v>
      </c>
      <c r="BP51" s="14">
        <f t="shared" si="42"/>
        <v>1033.9392</v>
      </c>
      <c r="BQ51" s="14">
        <f t="shared" si="16"/>
        <v>2307.9</v>
      </c>
      <c r="BR51" s="38">
        <f t="shared" si="17"/>
        <v>35447.292533333333</v>
      </c>
      <c r="BS51" s="1"/>
      <c r="BT51" s="4">
        <v>13</v>
      </c>
      <c r="BU51" s="14">
        <f>SUM(BN$39:BN51)</f>
        <v>305643.33333333337</v>
      </c>
      <c r="BV51" s="14">
        <f>SUM(BO$39:BO51)</f>
        <v>77022.12</v>
      </c>
      <c r="BW51" s="14">
        <f>SUM(BP$39:BP51)</f>
        <v>12323.539199999999</v>
      </c>
      <c r="BX51" s="14">
        <f>SUM(BQ$39:BQ51)</f>
        <v>27507.9</v>
      </c>
      <c r="BY51" s="21">
        <f>SUM(BR$39:BR51)</f>
        <v>422496.89253333322</v>
      </c>
    </row>
    <row r="52" spans="1:77" ht="18" customHeight="1" x14ac:dyDescent="0.25">
      <c r="A52" s="268"/>
      <c r="B52" s="267">
        <f t="shared" si="52"/>
        <v>14</v>
      </c>
      <c r="C52" s="264">
        <f t="shared" si="43"/>
        <v>15</v>
      </c>
      <c r="D52" s="265">
        <f t="shared" si="19"/>
        <v>44454.349333333332</v>
      </c>
      <c r="E52" s="266">
        <f t="shared" si="20"/>
        <v>33973.333333333336</v>
      </c>
      <c r="F52" s="266">
        <f t="shared" ref="F52:F98" si="59">IF(B52-1=$AO$101,(SUM(VLOOKUP(AL52,$AI$39:$AJ$159,2,0)*($G$15*(100%-$BB$31+$BB$29))))*$AO$102,IF(B52&gt;$AO$101,0,(SUM(VLOOKUP(AL52,$AI$39:$AJ$159,2,0)*($G$15*(100%-$BB$31+$BB$29))))))</f>
        <v>6115.2</v>
      </c>
      <c r="G52" s="266">
        <f t="shared" si="22"/>
        <v>978.43200000000002</v>
      </c>
      <c r="H52" s="266">
        <f t="shared" si="23"/>
        <v>2184</v>
      </c>
      <c r="I52" s="266">
        <f t="shared" si="24"/>
        <v>1203.384</v>
      </c>
      <c r="J52" s="435"/>
      <c r="K52" s="317">
        <f t="shared" si="25"/>
        <v>0</v>
      </c>
      <c r="L52" s="317">
        <f t="shared" si="56"/>
        <v>0</v>
      </c>
      <c r="M52" s="317">
        <f t="shared" si="27"/>
        <v>0</v>
      </c>
      <c r="N52" s="347">
        <f t="shared" si="28"/>
        <v>0</v>
      </c>
      <c r="O52" s="267">
        <f t="shared" si="53"/>
        <v>74</v>
      </c>
      <c r="P52" s="264">
        <f t="shared" si="29"/>
        <v>75</v>
      </c>
      <c r="Q52" s="265">
        <f t="shared" si="30"/>
        <v>54085.513140703493</v>
      </c>
      <c r="R52" s="266">
        <f t="shared" si="31"/>
        <v>41333.754604202659</v>
      </c>
      <c r="S52" s="266">
        <f t="shared" si="32"/>
        <v>7440.0758287564786</v>
      </c>
      <c r="T52" s="266">
        <f t="shared" si="33"/>
        <v>1190.4121326010365</v>
      </c>
      <c r="U52" s="266">
        <f t="shared" si="34"/>
        <v>2657.1699388415996</v>
      </c>
      <c r="V52" s="266">
        <f t="shared" si="35"/>
        <v>1464.1006363017216</v>
      </c>
      <c r="W52" s="435"/>
      <c r="X52" s="317">
        <f t="shared" si="2"/>
        <v>0</v>
      </c>
      <c r="Y52" s="317">
        <f t="shared" si="3"/>
        <v>0</v>
      </c>
      <c r="Z52" s="317">
        <f t="shared" si="4"/>
        <v>0</v>
      </c>
      <c r="AA52" s="347">
        <f t="shared" si="36"/>
        <v>0</v>
      </c>
      <c r="AB52" s="309"/>
      <c r="AC52" s="132"/>
      <c r="AD52" s="136"/>
      <c r="AE52" s="136"/>
      <c r="AF52" s="136"/>
      <c r="AG52" s="13">
        <f t="shared" si="37"/>
        <v>14</v>
      </c>
      <c r="AH52" s="14">
        <f t="shared" ref="AH52:AH62" si="60">AH51</f>
        <v>4615800</v>
      </c>
      <c r="AI52" s="44">
        <f t="shared" si="44"/>
        <v>15</v>
      </c>
      <c r="AJ52" s="55">
        <f>AJ51</f>
        <v>4368000</v>
      </c>
      <c r="AK52" s="59">
        <v>2</v>
      </c>
      <c r="AL52" s="44">
        <f t="shared" si="46"/>
        <v>15</v>
      </c>
      <c r="AM52" s="45">
        <f t="shared" si="39"/>
        <v>44454.349333333332</v>
      </c>
      <c r="AN52" s="44">
        <f t="shared" si="54"/>
        <v>75</v>
      </c>
      <c r="AO52" s="45">
        <f t="shared" si="5"/>
        <v>54085.513140703493</v>
      </c>
      <c r="AP52"/>
      <c r="AQ52" s="46">
        <f t="shared" si="47"/>
        <v>15</v>
      </c>
      <c r="AR52" s="47">
        <f t="shared" si="40"/>
        <v>31360.298666666666</v>
      </c>
      <c r="AS52" s="46">
        <f t="shared" si="55"/>
        <v>75</v>
      </c>
      <c r="AT52" s="47">
        <f t="shared" si="6"/>
        <v>38154.598392930842</v>
      </c>
      <c r="AV52" s="41">
        <f t="shared" si="7"/>
        <v>0</v>
      </c>
      <c r="AW52" s="41">
        <f t="shared" si="8"/>
        <v>0</v>
      </c>
      <c r="AX52" s="43">
        <f t="shared" si="9"/>
        <v>0</v>
      </c>
      <c r="AY52" s="43">
        <f t="shared" si="10"/>
        <v>0</v>
      </c>
      <c r="AZ52" s="11"/>
      <c r="BA52" s="36">
        <f t="shared" si="48"/>
        <v>15</v>
      </c>
      <c r="BB52" s="35">
        <f t="shared" si="57"/>
        <v>44454.349333333332</v>
      </c>
      <c r="BC52" s="120"/>
      <c r="BD52" s="305">
        <f t="shared" si="49"/>
        <v>15</v>
      </c>
      <c r="BE52" s="303">
        <f t="shared" si="58"/>
        <v>31360.298666666666</v>
      </c>
      <c r="BF52" s="208"/>
      <c r="BG52" s="37">
        <f t="shared" si="50"/>
        <v>15</v>
      </c>
      <c r="BH52" s="8">
        <f t="shared" si="12"/>
        <v>354.68159999999995</v>
      </c>
      <c r="BI52" s="8"/>
      <c r="BJ52" s="37">
        <f t="shared" si="51"/>
        <v>15</v>
      </c>
      <c r="BK52" s="8">
        <f t="shared" si="13"/>
        <v>0</v>
      </c>
      <c r="BL52" s="8"/>
      <c r="BM52" s="4">
        <v>14</v>
      </c>
      <c r="BN52" s="14">
        <f t="shared" si="14"/>
        <v>25643.333333333332</v>
      </c>
      <c r="BO52" s="14">
        <f t="shared" si="15"/>
        <v>6462.12</v>
      </c>
      <c r="BP52" s="14">
        <f t="shared" si="42"/>
        <v>1033.9392</v>
      </c>
      <c r="BQ52" s="14">
        <f t="shared" si="16"/>
        <v>2307.9</v>
      </c>
      <c r="BR52" s="38">
        <f t="shared" si="17"/>
        <v>35447.292533333333</v>
      </c>
      <c r="BT52" s="4">
        <v>14</v>
      </c>
      <c r="BU52" s="14">
        <f>SUM(BN$39:BN52)</f>
        <v>331286.66666666669</v>
      </c>
      <c r="BV52" s="14">
        <f>SUM(BO$39:BO52)</f>
        <v>83484.239999999991</v>
      </c>
      <c r="BW52" s="14">
        <f>SUM(BP$39:BP52)</f>
        <v>13357.4784</v>
      </c>
      <c r="BX52" s="14">
        <f>SUM(BQ$39:BQ52)</f>
        <v>29815.800000000003</v>
      </c>
      <c r="BY52" s="21">
        <f>SUM(BR$39:BR52)</f>
        <v>457944.18506666657</v>
      </c>
    </row>
    <row r="53" spans="1:77" ht="18" customHeight="1" x14ac:dyDescent="0.25">
      <c r="A53" s="268"/>
      <c r="B53" s="267">
        <f t="shared" si="52"/>
        <v>15</v>
      </c>
      <c r="C53" s="264">
        <f t="shared" si="43"/>
        <v>16</v>
      </c>
      <c r="D53" s="265">
        <f t="shared" si="19"/>
        <v>44454.349333333332</v>
      </c>
      <c r="E53" s="266">
        <f t="shared" si="20"/>
        <v>33973.333333333336</v>
      </c>
      <c r="F53" s="266">
        <f t="shared" si="59"/>
        <v>6115.2</v>
      </c>
      <c r="G53" s="266">
        <f t="shared" si="22"/>
        <v>978.43200000000002</v>
      </c>
      <c r="H53" s="266">
        <f t="shared" si="23"/>
        <v>2184</v>
      </c>
      <c r="I53" s="266">
        <f t="shared" si="24"/>
        <v>1203.384</v>
      </c>
      <c r="J53" s="435"/>
      <c r="K53" s="317">
        <f t="shared" si="25"/>
        <v>0</v>
      </c>
      <c r="L53" s="317">
        <f t="shared" si="56"/>
        <v>0</v>
      </c>
      <c r="M53" s="317">
        <f t="shared" si="27"/>
        <v>0</v>
      </c>
      <c r="N53" s="347">
        <f t="shared" si="28"/>
        <v>0</v>
      </c>
      <c r="O53" s="267">
        <f t="shared" si="53"/>
        <v>75</v>
      </c>
      <c r="P53" s="264">
        <f t="shared" si="29"/>
        <v>76</v>
      </c>
      <c r="Q53" s="265">
        <f t="shared" si="30"/>
        <v>54085.513140703493</v>
      </c>
      <c r="R53" s="266">
        <f t="shared" si="31"/>
        <v>41333.754604202659</v>
      </c>
      <c r="S53" s="266">
        <f t="shared" si="32"/>
        <v>7440.0758287564786</v>
      </c>
      <c r="T53" s="266">
        <f t="shared" si="33"/>
        <v>1190.4121326010365</v>
      </c>
      <c r="U53" s="266">
        <f t="shared" si="34"/>
        <v>2657.1699388415996</v>
      </c>
      <c r="V53" s="266">
        <f t="shared" si="35"/>
        <v>1464.1006363017216</v>
      </c>
      <c r="W53" s="435"/>
      <c r="X53" s="317">
        <f t="shared" si="2"/>
        <v>0</v>
      </c>
      <c r="Y53" s="317">
        <f t="shared" si="3"/>
        <v>0</v>
      </c>
      <c r="Z53" s="317">
        <f t="shared" si="4"/>
        <v>0</v>
      </c>
      <c r="AA53" s="347">
        <f t="shared" si="36"/>
        <v>0</v>
      </c>
      <c r="AB53" s="309"/>
      <c r="AC53" s="132"/>
      <c r="AD53" s="136"/>
      <c r="AE53" s="136"/>
      <c r="AF53" s="136"/>
      <c r="AG53" s="13">
        <f t="shared" si="37"/>
        <v>15</v>
      </c>
      <c r="AH53" s="14">
        <f t="shared" si="60"/>
        <v>4615800</v>
      </c>
      <c r="AI53" s="44">
        <f t="shared" si="44"/>
        <v>16</v>
      </c>
      <c r="AJ53" s="55">
        <f t="shared" ref="AJ53:AJ62" si="61">AJ52</f>
        <v>4368000</v>
      </c>
      <c r="AK53" s="59">
        <v>3</v>
      </c>
      <c r="AL53" s="44">
        <f t="shared" si="46"/>
        <v>16</v>
      </c>
      <c r="AM53" s="45">
        <f t="shared" si="39"/>
        <v>44454.349333333332</v>
      </c>
      <c r="AN53" s="44">
        <f t="shared" si="54"/>
        <v>76</v>
      </c>
      <c r="AO53" s="45">
        <f t="shared" si="5"/>
        <v>54085.513140703493</v>
      </c>
      <c r="AP53"/>
      <c r="AQ53" s="46">
        <f t="shared" si="47"/>
        <v>16</v>
      </c>
      <c r="AR53" s="47">
        <f t="shared" si="40"/>
        <v>31360.298666666666</v>
      </c>
      <c r="AS53" s="46">
        <f t="shared" si="55"/>
        <v>76</v>
      </c>
      <c r="AT53" s="47">
        <f>IFERROR(VLOOKUP(AS53,$BD$39:$BE$218,2,0),0)</f>
        <v>38154.598392930842</v>
      </c>
      <c r="AV53" s="41">
        <f t="shared" si="7"/>
        <v>0</v>
      </c>
      <c r="AW53" s="41">
        <f t="shared" si="8"/>
        <v>0</v>
      </c>
      <c r="AX53" s="43">
        <f t="shared" si="9"/>
        <v>0</v>
      </c>
      <c r="AY53" s="43">
        <f>IFERROR(AW53/AT53,0)</f>
        <v>0</v>
      </c>
      <c r="AZ53" s="11"/>
      <c r="BA53" s="36">
        <f t="shared" si="48"/>
        <v>16</v>
      </c>
      <c r="BB53" s="35">
        <f t="shared" si="57"/>
        <v>44454.349333333332</v>
      </c>
      <c r="BC53" s="120"/>
      <c r="BD53" s="305">
        <f t="shared" si="49"/>
        <v>16</v>
      </c>
      <c r="BE53" s="303">
        <f t="shared" si="58"/>
        <v>31360.298666666666</v>
      </c>
      <c r="BF53" s="208"/>
      <c r="BG53" s="37">
        <f t="shared" si="50"/>
        <v>16</v>
      </c>
      <c r="BH53" s="8">
        <f t="shared" si="12"/>
        <v>354.68159999999995</v>
      </c>
      <c r="BI53" s="8"/>
      <c r="BJ53" s="37">
        <f t="shared" si="51"/>
        <v>16</v>
      </c>
      <c r="BK53" s="8">
        <f t="shared" si="13"/>
        <v>0</v>
      </c>
      <c r="BL53" s="8"/>
      <c r="BM53" s="4">
        <v>15</v>
      </c>
      <c r="BN53" s="14">
        <f t="shared" si="14"/>
        <v>25643.333333333332</v>
      </c>
      <c r="BO53" s="14">
        <f t="shared" si="15"/>
        <v>6462.12</v>
      </c>
      <c r="BP53" s="14">
        <f t="shared" si="42"/>
        <v>1033.9392</v>
      </c>
      <c r="BQ53" s="14">
        <f t="shared" si="16"/>
        <v>2307.9</v>
      </c>
      <c r="BR53" s="38">
        <f t="shared" si="17"/>
        <v>35447.292533333333</v>
      </c>
      <c r="BT53" s="4">
        <v>15</v>
      </c>
      <c r="BU53" s="14">
        <f>SUM(BN$39:BN53)</f>
        <v>356930</v>
      </c>
      <c r="BV53" s="14">
        <f>SUM(BO$39:BO53)</f>
        <v>89946.359999999986</v>
      </c>
      <c r="BW53" s="14">
        <f>SUM(BP$39:BP53)</f>
        <v>14391.417600000001</v>
      </c>
      <c r="BX53" s="14">
        <f>SUM(BQ$39:BQ53)</f>
        <v>32123.700000000004</v>
      </c>
      <c r="BY53" s="21">
        <f>SUM(BR$39:BR53)</f>
        <v>493391.47759999993</v>
      </c>
    </row>
    <row r="54" spans="1:77" ht="18" customHeight="1" x14ac:dyDescent="0.25">
      <c r="A54" s="268"/>
      <c r="B54" s="267">
        <f t="shared" si="52"/>
        <v>16</v>
      </c>
      <c r="C54" s="264">
        <f t="shared" si="43"/>
        <v>17</v>
      </c>
      <c r="D54" s="265">
        <f t="shared" si="19"/>
        <v>44454.349333333332</v>
      </c>
      <c r="E54" s="266">
        <f t="shared" si="20"/>
        <v>33973.333333333336</v>
      </c>
      <c r="F54" s="266">
        <f t="shared" si="59"/>
        <v>6115.2</v>
      </c>
      <c r="G54" s="266">
        <f t="shared" si="22"/>
        <v>978.43200000000002</v>
      </c>
      <c r="H54" s="266">
        <f t="shared" si="23"/>
        <v>2184</v>
      </c>
      <c r="I54" s="266">
        <f t="shared" si="24"/>
        <v>1203.384</v>
      </c>
      <c r="J54" s="435"/>
      <c r="K54" s="317">
        <f t="shared" si="25"/>
        <v>0</v>
      </c>
      <c r="L54" s="317">
        <f t="shared" si="56"/>
        <v>0</v>
      </c>
      <c r="M54" s="317">
        <f t="shared" si="27"/>
        <v>0</v>
      </c>
      <c r="N54" s="347">
        <f t="shared" si="28"/>
        <v>0</v>
      </c>
      <c r="O54" s="267">
        <f t="shared" si="53"/>
        <v>76</v>
      </c>
      <c r="P54" s="264">
        <f t="shared" si="29"/>
        <v>77</v>
      </c>
      <c r="Q54" s="265">
        <f t="shared" si="30"/>
        <v>54085.513140703493</v>
      </c>
      <c r="R54" s="266">
        <f t="shared" si="31"/>
        <v>41333.754604202659</v>
      </c>
      <c r="S54" s="266">
        <f t="shared" si="32"/>
        <v>7440.0758287564786</v>
      </c>
      <c r="T54" s="266">
        <f t="shared" si="33"/>
        <v>1190.4121326010365</v>
      </c>
      <c r="U54" s="266">
        <f t="shared" si="34"/>
        <v>2657.1699388415996</v>
      </c>
      <c r="V54" s="266">
        <f t="shared" si="35"/>
        <v>1464.1006363017216</v>
      </c>
      <c r="W54" s="435"/>
      <c r="X54" s="317">
        <f t="shared" si="2"/>
        <v>0</v>
      </c>
      <c r="Y54" s="317">
        <f t="shared" si="3"/>
        <v>0</v>
      </c>
      <c r="Z54" s="317">
        <f t="shared" si="4"/>
        <v>0</v>
      </c>
      <c r="AA54" s="347">
        <f t="shared" si="36"/>
        <v>0</v>
      </c>
      <c r="AB54" s="309"/>
      <c r="AC54" s="136"/>
      <c r="AD54" s="136"/>
      <c r="AE54" s="136"/>
      <c r="AF54" s="136"/>
      <c r="AG54" s="13">
        <f t="shared" si="37"/>
        <v>16</v>
      </c>
      <c r="AH54" s="14">
        <f t="shared" si="60"/>
        <v>4615800</v>
      </c>
      <c r="AI54" s="44">
        <f t="shared" si="44"/>
        <v>17</v>
      </c>
      <c r="AJ54" s="55">
        <f t="shared" si="61"/>
        <v>4368000</v>
      </c>
      <c r="AK54" s="59">
        <v>4</v>
      </c>
      <c r="AL54" s="44">
        <f t="shared" si="46"/>
        <v>17</v>
      </c>
      <c r="AM54" s="45">
        <f t="shared" si="39"/>
        <v>44454.349333333332</v>
      </c>
      <c r="AN54" s="44">
        <f t="shared" si="54"/>
        <v>77</v>
      </c>
      <c r="AO54" s="45">
        <f t="shared" si="5"/>
        <v>54085.513140703493</v>
      </c>
      <c r="AP54"/>
      <c r="AQ54" s="46">
        <f t="shared" si="47"/>
        <v>17</v>
      </c>
      <c r="AR54" s="47">
        <f>IFERROR(VLOOKUP(AQ54,$BD$39:$BE$218,2,0),0)</f>
        <v>31360.298666666666</v>
      </c>
      <c r="AS54" s="46">
        <f t="shared" si="55"/>
        <v>77</v>
      </c>
      <c r="AT54" s="47">
        <f t="shared" si="6"/>
        <v>38154.598392930842</v>
      </c>
      <c r="AV54" s="41">
        <f t="shared" si="7"/>
        <v>0</v>
      </c>
      <c r="AW54" s="41">
        <f t="shared" si="8"/>
        <v>0</v>
      </c>
      <c r="AX54" s="43">
        <f t="shared" si="9"/>
        <v>0</v>
      </c>
      <c r="AY54" s="43">
        <f t="shared" si="10"/>
        <v>0</v>
      </c>
      <c r="AZ54" s="11"/>
      <c r="BA54" s="36">
        <f t="shared" si="48"/>
        <v>17</v>
      </c>
      <c r="BB54" s="35">
        <f t="shared" si="57"/>
        <v>44454.349333333332</v>
      </c>
      <c r="BC54" s="120"/>
      <c r="BD54" s="305">
        <f t="shared" si="49"/>
        <v>17</v>
      </c>
      <c r="BE54" s="303">
        <f t="shared" si="58"/>
        <v>31360.298666666666</v>
      </c>
      <c r="BF54" s="208"/>
      <c r="BG54" s="37">
        <f t="shared" si="50"/>
        <v>17</v>
      </c>
      <c r="BH54" s="8">
        <f t="shared" si="12"/>
        <v>354.68159999999995</v>
      </c>
      <c r="BI54" s="8"/>
      <c r="BJ54" s="37">
        <f t="shared" si="51"/>
        <v>17</v>
      </c>
      <c r="BK54" s="8">
        <f t="shared" si="13"/>
        <v>0</v>
      </c>
      <c r="BL54" s="8"/>
      <c r="BM54" s="4">
        <v>16</v>
      </c>
      <c r="BN54" s="14">
        <f t="shared" si="14"/>
        <v>25643.333333333332</v>
      </c>
      <c r="BO54" s="14">
        <f t="shared" si="15"/>
        <v>6462.12</v>
      </c>
      <c r="BP54" s="14">
        <f t="shared" si="42"/>
        <v>1033.9392</v>
      </c>
      <c r="BQ54" s="14">
        <f t="shared" si="16"/>
        <v>2307.9</v>
      </c>
      <c r="BR54" s="38">
        <f t="shared" si="17"/>
        <v>35447.292533333333</v>
      </c>
      <c r="BT54" s="4">
        <v>16</v>
      </c>
      <c r="BU54" s="14">
        <f>SUM(BN$39:BN54)</f>
        <v>382573.33333333331</v>
      </c>
      <c r="BV54" s="14">
        <f>SUM(BO$39:BO54)</f>
        <v>96408.479999999981</v>
      </c>
      <c r="BW54" s="14">
        <f>SUM(BP$39:BP54)</f>
        <v>15425.356800000001</v>
      </c>
      <c r="BX54" s="14">
        <f>SUM(BQ$39:BQ54)</f>
        <v>34431.600000000006</v>
      </c>
      <c r="BY54" s="21">
        <f>SUM(BR$39:BR54)</f>
        <v>528838.77013333328</v>
      </c>
    </row>
    <row r="55" spans="1:77" ht="18" customHeight="1" x14ac:dyDescent="0.25">
      <c r="A55" s="268"/>
      <c r="B55" s="267">
        <f t="shared" si="52"/>
        <v>17</v>
      </c>
      <c r="C55" s="264">
        <f t="shared" si="43"/>
        <v>18</v>
      </c>
      <c r="D55" s="265">
        <f t="shared" si="19"/>
        <v>44454.349333333332</v>
      </c>
      <c r="E55" s="266">
        <f t="shared" si="20"/>
        <v>33973.333333333336</v>
      </c>
      <c r="F55" s="266">
        <f t="shared" si="59"/>
        <v>6115.2</v>
      </c>
      <c r="G55" s="266">
        <f t="shared" si="22"/>
        <v>978.43200000000002</v>
      </c>
      <c r="H55" s="266">
        <f t="shared" si="23"/>
        <v>2184</v>
      </c>
      <c r="I55" s="266">
        <f t="shared" si="24"/>
        <v>1203.384</v>
      </c>
      <c r="J55" s="435"/>
      <c r="K55" s="317">
        <f t="shared" si="25"/>
        <v>0</v>
      </c>
      <c r="L55" s="317">
        <f t="shared" si="56"/>
        <v>0</v>
      </c>
      <c r="M55" s="317">
        <f t="shared" si="27"/>
        <v>0</v>
      </c>
      <c r="N55" s="347">
        <f t="shared" si="28"/>
        <v>0</v>
      </c>
      <c r="O55" s="267">
        <f t="shared" si="53"/>
        <v>77</v>
      </c>
      <c r="P55" s="264">
        <f t="shared" si="29"/>
        <v>78</v>
      </c>
      <c r="Q55" s="265">
        <f t="shared" si="30"/>
        <v>54085.513140703493</v>
      </c>
      <c r="R55" s="266">
        <f t="shared" si="31"/>
        <v>41333.754604202659</v>
      </c>
      <c r="S55" s="266">
        <f t="shared" si="32"/>
        <v>7440.0758287564786</v>
      </c>
      <c r="T55" s="266">
        <f t="shared" si="33"/>
        <v>1190.4121326010365</v>
      </c>
      <c r="U55" s="266">
        <f t="shared" si="34"/>
        <v>2657.1699388415996</v>
      </c>
      <c r="V55" s="266">
        <f t="shared" si="35"/>
        <v>1464.1006363017216</v>
      </c>
      <c r="W55" s="435"/>
      <c r="X55" s="317">
        <f t="shared" si="2"/>
        <v>0</v>
      </c>
      <c r="Y55" s="317">
        <f t="shared" si="3"/>
        <v>0</v>
      </c>
      <c r="Z55" s="317">
        <f t="shared" si="4"/>
        <v>0</v>
      </c>
      <c r="AA55" s="347">
        <f t="shared" si="36"/>
        <v>0</v>
      </c>
      <c r="AB55" s="309"/>
      <c r="AC55" s="136"/>
      <c r="AD55" s="136"/>
      <c r="AE55" s="136"/>
      <c r="AF55" s="136"/>
      <c r="AG55" s="13">
        <f t="shared" si="37"/>
        <v>17</v>
      </c>
      <c r="AH55" s="14">
        <f t="shared" si="60"/>
        <v>4615800</v>
      </c>
      <c r="AI55" s="44">
        <f t="shared" si="44"/>
        <v>18</v>
      </c>
      <c r="AJ55" s="55">
        <f t="shared" si="61"/>
        <v>4368000</v>
      </c>
      <c r="AK55" s="59">
        <v>5</v>
      </c>
      <c r="AL55" s="44">
        <f t="shared" si="46"/>
        <v>18</v>
      </c>
      <c r="AM55" s="45">
        <f t="shared" si="39"/>
        <v>44454.349333333332</v>
      </c>
      <c r="AN55" s="44">
        <f t="shared" si="54"/>
        <v>78</v>
      </c>
      <c r="AO55" s="45">
        <f t="shared" si="5"/>
        <v>54085.513140703493</v>
      </c>
      <c r="AP55" s="42"/>
      <c r="AQ55" s="46">
        <f t="shared" si="47"/>
        <v>18</v>
      </c>
      <c r="AR55" s="47">
        <f t="shared" si="40"/>
        <v>31360.298666666666</v>
      </c>
      <c r="AS55" s="46">
        <f t="shared" si="55"/>
        <v>78</v>
      </c>
      <c r="AT55" s="47">
        <f t="shared" si="6"/>
        <v>38154.598392930842</v>
      </c>
      <c r="AV55" s="41">
        <f t="shared" si="7"/>
        <v>0</v>
      </c>
      <c r="AW55" s="41">
        <f t="shared" si="8"/>
        <v>0</v>
      </c>
      <c r="AX55" s="43">
        <f t="shared" si="9"/>
        <v>0</v>
      </c>
      <c r="AY55" s="43">
        <f t="shared" si="10"/>
        <v>0</v>
      </c>
      <c r="AZ55" s="11"/>
      <c r="BA55" s="36">
        <f t="shared" si="48"/>
        <v>18</v>
      </c>
      <c r="BB55" s="35">
        <f t="shared" si="57"/>
        <v>44454.349333333332</v>
      </c>
      <c r="BC55" s="120"/>
      <c r="BD55" s="305">
        <f t="shared" si="49"/>
        <v>18</v>
      </c>
      <c r="BE55" s="303">
        <f t="shared" si="58"/>
        <v>31360.298666666666</v>
      </c>
      <c r="BF55" s="208"/>
      <c r="BG55" s="37">
        <f t="shared" si="50"/>
        <v>18</v>
      </c>
      <c r="BH55" s="8">
        <f t="shared" si="12"/>
        <v>354.68159999999995</v>
      </c>
      <c r="BI55" s="8"/>
      <c r="BJ55" s="37">
        <f t="shared" si="51"/>
        <v>18</v>
      </c>
      <c r="BK55" s="8">
        <f t="shared" si="13"/>
        <v>0</v>
      </c>
      <c r="BL55" s="8"/>
      <c r="BM55" s="4">
        <v>17</v>
      </c>
      <c r="BN55" s="14">
        <f t="shared" si="14"/>
        <v>25643.333333333332</v>
      </c>
      <c r="BO55" s="14">
        <f t="shared" si="15"/>
        <v>6462.12</v>
      </c>
      <c r="BP55" s="14">
        <f t="shared" si="42"/>
        <v>1033.9392</v>
      </c>
      <c r="BQ55" s="14">
        <f t="shared" si="16"/>
        <v>2307.9</v>
      </c>
      <c r="BR55" s="38">
        <f t="shared" si="17"/>
        <v>35447.292533333333</v>
      </c>
      <c r="BT55" s="4">
        <v>17</v>
      </c>
      <c r="BU55" s="14">
        <f>SUM(BN$39:BN55)</f>
        <v>408216.66666666663</v>
      </c>
      <c r="BV55" s="14">
        <f>SUM(BO$39:BO55)</f>
        <v>102870.59999999998</v>
      </c>
      <c r="BW55" s="14">
        <f>SUM(BP$39:BP55)</f>
        <v>16459.296000000002</v>
      </c>
      <c r="BX55" s="14">
        <f>SUM(BQ$39:BQ55)</f>
        <v>36739.500000000007</v>
      </c>
      <c r="BY55" s="21">
        <f>SUM(BR$39:BR55)</f>
        <v>564286.06266666658</v>
      </c>
    </row>
    <row r="56" spans="1:77" ht="18" customHeight="1" x14ac:dyDescent="0.25">
      <c r="A56" s="268"/>
      <c r="B56" s="267">
        <f t="shared" si="52"/>
        <v>18</v>
      </c>
      <c r="C56" s="264">
        <f t="shared" si="43"/>
        <v>19</v>
      </c>
      <c r="D56" s="265">
        <f t="shared" si="19"/>
        <v>44454.349333333332</v>
      </c>
      <c r="E56" s="266">
        <f t="shared" si="20"/>
        <v>33973.333333333336</v>
      </c>
      <c r="F56" s="266">
        <f t="shared" si="59"/>
        <v>6115.2</v>
      </c>
      <c r="G56" s="266">
        <f t="shared" si="22"/>
        <v>978.43200000000002</v>
      </c>
      <c r="H56" s="266">
        <f t="shared" si="23"/>
        <v>2184</v>
      </c>
      <c r="I56" s="266">
        <f t="shared" si="24"/>
        <v>1203.384</v>
      </c>
      <c r="J56" s="435"/>
      <c r="K56" s="317">
        <f t="shared" si="25"/>
        <v>0</v>
      </c>
      <c r="L56" s="317">
        <f t="shared" si="56"/>
        <v>0</v>
      </c>
      <c r="M56" s="317">
        <f t="shared" si="27"/>
        <v>0</v>
      </c>
      <c r="N56" s="347">
        <f t="shared" si="28"/>
        <v>0</v>
      </c>
      <c r="O56" s="267">
        <f t="shared" si="53"/>
        <v>78</v>
      </c>
      <c r="P56" s="264">
        <f t="shared" si="29"/>
        <v>79</v>
      </c>
      <c r="Q56" s="265">
        <f t="shared" si="30"/>
        <v>54085.513140703493</v>
      </c>
      <c r="R56" s="266">
        <f t="shared" si="31"/>
        <v>41333.754604202659</v>
      </c>
      <c r="S56" s="266">
        <f t="shared" si="32"/>
        <v>7440.0758287564786</v>
      </c>
      <c r="T56" s="266">
        <f t="shared" si="33"/>
        <v>1190.4121326010365</v>
      </c>
      <c r="U56" s="266">
        <f t="shared" si="34"/>
        <v>2657.1699388415996</v>
      </c>
      <c r="V56" s="266">
        <f t="shared" si="35"/>
        <v>1464.1006363017216</v>
      </c>
      <c r="W56" s="435"/>
      <c r="X56" s="317">
        <f t="shared" si="2"/>
        <v>0</v>
      </c>
      <c r="Y56" s="317">
        <f t="shared" si="3"/>
        <v>0</v>
      </c>
      <c r="Z56" s="317">
        <f t="shared" si="4"/>
        <v>0</v>
      </c>
      <c r="AA56" s="347">
        <f t="shared" si="36"/>
        <v>0</v>
      </c>
      <c r="AB56" s="309"/>
      <c r="AC56" s="141"/>
      <c r="AD56" s="136"/>
      <c r="AE56" s="136"/>
      <c r="AF56" s="141"/>
      <c r="AG56" s="13">
        <f t="shared" si="37"/>
        <v>18</v>
      </c>
      <c r="AH56" s="14">
        <f t="shared" si="60"/>
        <v>4615800</v>
      </c>
      <c r="AI56" s="44">
        <f t="shared" si="44"/>
        <v>19</v>
      </c>
      <c r="AJ56" s="55">
        <f t="shared" si="61"/>
        <v>4368000</v>
      </c>
      <c r="AK56" s="59">
        <v>6</v>
      </c>
      <c r="AL56" s="44">
        <f t="shared" si="46"/>
        <v>19</v>
      </c>
      <c r="AM56" s="45">
        <f t="shared" si="39"/>
        <v>44454.349333333332</v>
      </c>
      <c r="AN56" s="44">
        <f t="shared" si="54"/>
        <v>79</v>
      </c>
      <c r="AO56" s="45">
        <f t="shared" si="5"/>
        <v>54085.513140703493</v>
      </c>
      <c r="AP56"/>
      <c r="AQ56" s="46">
        <f t="shared" si="47"/>
        <v>19</v>
      </c>
      <c r="AR56" s="47">
        <f t="shared" si="40"/>
        <v>31360.298666666666</v>
      </c>
      <c r="AS56" s="46">
        <f t="shared" si="55"/>
        <v>79</v>
      </c>
      <c r="AT56" s="47">
        <f t="shared" si="6"/>
        <v>38154.598392930842</v>
      </c>
      <c r="AV56" s="41">
        <f t="shared" si="7"/>
        <v>0</v>
      </c>
      <c r="AW56" s="41">
        <f t="shared" si="8"/>
        <v>0</v>
      </c>
      <c r="AX56" s="43">
        <f t="shared" si="9"/>
        <v>0</v>
      </c>
      <c r="AY56" s="43">
        <f t="shared" si="10"/>
        <v>0</v>
      </c>
      <c r="AZ56" s="11"/>
      <c r="BA56" s="36">
        <f t="shared" si="48"/>
        <v>19</v>
      </c>
      <c r="BB56" s="35">
        <f t="shared" si="57"/>
        <v>44454.349333333332</v>
      </c>
      <c r="BC56" s="120"/>
      <c r="BD56" s="305">
        <f t="shared" si="49"/>
        <v>19</v>
      </c>
      <c r="BE56" s="303">
        <f t="shared" si="58"/>
        <v>31360.298666666666</v>
      </c>
      <c r="BF56" s="208"/>
      <c r="BG56" s="37">
        <f t="shared" si="50"/>
        <v>19</v>
      </c>
      <c r="BH56" s="8">
        <f t="shared" si="12"/>
        <v>354.68159999999995</v>
      </c>
      <c r="BI56" s="8"/>
      <c r="BJ56" s="37">
        <f t="shared" si="51"/>
        <v>19</v>
      </c>
      <c r="BK56" s="8">
        <f t="shared" si="13"/>
        <v>0</v>
      </c>
      <c r="BL56" s="8"/>
      <c r="BM56" s="4">
        <v>18</v>
      </c>
      <c r="BN56" s="14">
        <f t="shared" si="14"/>
        <v>25643.333333333332</v>
      </c>
      <c r="BO56" s="14">
        <f t="shared" si="15"/>
        <v>6462.12</v>
      </c>
      <c r="BP56" s="14">
        <f t="shared" si="42"/>
        <v>1033.9392</v>
      </c>
      <c r="BQ56" s="14">
        <f t="shared" si="16"/>
        <v>2307.9</v>
      </c>
      <c r="BR56" s="38">
        <f t="shared" si="17"/>
        <v>35447.292533333333</v>
      </c>
      <c r="BT56" s="4">
        <v>18</v>
      </c>
      <c r="BU56" s="14">
        <f>SUM(BN$39:BN56)</f>
        <v>433859.99999999994</v>
      </c>
      <c r="BV56" s="14">
        <f>SUM(BO$39:BO56)</f>
        <v>109332.71999999997</v>
      </c>
      <c r="BW56" s="14">
        <f>SUM(BP$39:BP56)</f>
        <v>17493.235200000003</v>
      </c>
      <c r="BX56" s="14">
        <f>SUM(BQ$39:BQ56)</f>
        <v>39047.400000000009</v>
      </c>
      <c r="BY56" s="21">
        <f>SUM(BR$39:BR56)</f>
        <v>599733.35519999987</v>
      </c>
    </row>
    <row r="57" spans="1:77" ht="18" customHeight="1" x14ac:dyDescent="0.25">
      <c r="A57" s="268"/>
      <c r="B57" s="267">
        <f t="shared" si="52"/>
        <v>19</v>
      </c>
      <c r="C57" s="264">
        <f t="shared" si="43"/>
        <v>20</v>
      </c>
      <c r="D57" s="265">
        <f t="shared" si="19"/>
        <v>44454.349333333332</v>
      </c>
      <c r="E57" s="266">
        <f t="shared" si="20"/>
        <v>33973.333333333336</v>
      </c>
      <c r="F57" s="266">
        <f t="shared" si="59"/>
        <v>6115.2</v>
      </c>
      <c r="G57" s="266">
        <f t="shared" si="22"/>
        <v>978.43200000000002</v>
      </c>
      <c r="H57" s="266">
        <f t="shared" si="23"/>
        <v>2184</v>
      </c>
      <c r="I57" s="266">
        <f t="shared" si="24"/>
        <v>1203.384</v>
      </c>
      <c r="J57" s="435"/>
      <c r="K57" s="317">
        <f t="shared" si="25"/>
        <v>0</v>
      </c>
      <c r="L57" s="317">
        <f t="shared" si="56"/>
        <v>0</v>
      </c>
      <c r="M57" s="317">
        <f t="shared" si="27"/>
        <v>0</v>
      </c>
      <c r="N57" s="347">
        <f t="shared" si="28"/>
        <v>0</v>
      </c>
      <c r="O57" s="267">
        <f t="shared" si="53"/>
        <v>79</v>
      </c>
      <c r="P57" s="264">
        <f t="shared" si="29"/>
        <v>80</v>
      </c>
      <c r="Q57" s="265">
        <f t="shared" si="30"/>
        <v>54085.513140703493</v>
      </c>
      <c r="R57" s="266">
        <f t="shared" si="31"/>
        <v>41333.754604202659</v>
      </c>
      <c r="S57" s="266">
        <f t="shared" si="32"/>
        <v>7440.0758287564786</v>
      </c>
      <c r="T57" s="266">
        <f t="shared" si="33"/>
        <v>1190.4121326010365</v>
      </c>
      <c r="U57" s="266">
        <f t="shared" si="34"/>
        <v>2657.1699388415996</v>
      </c>
      <c r="V57" s="266">
        <f t="shared" si="35"/>
        <v>1464.1006363017216</v>
      </c>
      <c r="W57" s="435"/>
      <c r="X57" s="317">
        <f t="shared" si="2"/>
        <v>0</v>
      </c>
      <c r="Y57" s="317">
        <f t="shared" si="3"/>
        <v>0</v>
      </c>
      <c r="Z57" s="317">
        <f t="shared" si="4"/>
        <v>0</v>
      </c>
      <c r="AA57" s="347">
        <f t="shared" si="36"/>
        <v>0</v>
      </c>
      <c r="AB57" s="309"/>
      <c r="AC57" s="136"/>
      <c r="AD57" s="136"/>
      <c r="AE57" s="136"/>
      <c r="AF57" s="136"/>
      <c r="AG57" s="13">
        <f t="shared" si="37"/>
        <v>19</v>
      </c>
      <c r="AH57" s="14">
        <f t="shared" si="60"/>
        <v>4615800</v>
      </c>
      <c r="AI57" s="44">
        <f t="shared" si="44"/>
        <v>20</v>
      </c>
      <c r="AJ57" s="55">
        <f t="shared" si="61"/>
        <v>4368000</v>
      </c>
      <c r="AK57" s="59">
        <v>7</v>
      </c>
      <c r="AL57" s="44">
        <f t="shared" si="46"/>
        <v>20</v>
      </c>
      <c r="AM57" s="45">
        <f t="shared" si="39"/>
        <v>44454.349333333332</v>
      </c>
      <c r="AN57" s="44">
        <f t="shared" si="54"/>
        <v>80</v>
      </c>
      <c r="AO57" s="45">
        <f t="shared" si="5"/>
        <v>54085.513140703493</v>
      </c>
      <c r="AP57"/>
      <c r="AQ57" s="46">
        <f t="shared" si="47"/>
        <v>20</v>
      </c>
      <c r="AR57" s="47">
        <f t="shared" si="40"/>
        <v>31360.298666666666</v>
      </c>
      <c r="AS57" s="46">
        <f t="shared" si="55"/>
        <v>80</v>
      </c>
      <c r="AT57" s="47">
        <f t="shared" si="6"/>
        <v>38154.598392930842</v>
      </c>
      <c r="AV57" s="41">
        <f t="shared" si="7"/>
        <v>0</v>
      </c>
      <c r="AW57" s="41">
        <f t="shared" si="8"/>
        <v>0</v>
      </c>
      <c r="AX57" s="43">
        <f t="shared" si="9"/>
        <v>0</v>
      </c>
      <c r="AY57" s="43">
        <f t="shared" si="10"/>
        <v>0</v>
      </c>
      <c r="AZ57" s="11"/>
      <c r="BA57" s="36">
        <f t="shared" si="48"/>
        <v>20</v>
      </c>
      <c r="BB57" s="35">
        <f t="shared" si="57"/>
        <v>44454.349333333332</v>
      </c>
      <c r="BC57" s="120"/>
      <c r="BD57" s="305">
        <f t="shared" si="49"/>
        <v>20</v>
      </c>
      <c r="BE57" s="303">
        <f t="shared" si="58"/>
        <v>31360.298666666666</v>
      </c>
      <c r="BF57" s="208"/>
      <c r="BG57" s="37">
        <f t="shared" si="50"/>
        <v>20</v>
      </c>
      <c r="BH57" s="8">
        <f t="shared" si="12"/>
        <v>354.68159999999995</v>
      </c>
      <c r="BI57" s="8"/>
      <c r="BJ57" s="37">
        <f t="shared" si="51"/>
        <v>20</v>
      </c>
      <c r="BK57" s="8">
        <f t="shared" si="13"/>
        <v>0</v>
      </c>
      <c r="BL57" s="8"/>
      <c r="BM57" s="4">
        <v>19</v>
      </c>
      <c r="BN57" s="14">
        <f t="shared" si="14"/>
        <v>25643.333333333332</v>
      </c>
      <c r="BO57" s="14">
        <f t="shared" si="15"/>
        <v>6462.12</v>
      </c>
      <c r="BP57" s="14">
        <f t="shared" si="42"/>
        <v>1033.9392</v>
      </c>
      <c r="BQ57" s="14">
        <f t="shared" si="16"/>
        <v>2307.9</v>
      </c>
      <c r="BR57" s="38">
        <f t="shared" si="17"/>
        <v>35447.292533333333</v>
      </c>
      <c r="BT57" s="4">
        <v>19</v>
      </c>
      <c r="BU57" s="14">
        <f>SUM(BN$39:BN57)</f>
        <v>459503.33333333326</v>
      </c>
      <c r="BV57" s="14">
        <f>SUM(BO$39:BO57)</f>
        <v>115794.83999999997</v>
      </c>
      <c r="BW57" s="14">
        <f>SUM(BP$39:BP57)</f>
        <v>18527.174400000004</v>
      </c>
      <c r="BX57" s="14">
        <f>SUM(BQ$39:BQ57)</f>
        <v>41355.30000000001</v>
      </c>
      <c r="BY57" s="21">
        <f>SUM(BR$39:BR57)</f>
        <v>635180.64773333317</v>
      </c>
    </row>
    <row r="58" spans="1:77" ht="18" customHeight="1" x14ac:dyDescent="0.25">
      <c r="A58" s="268"/>
      <c r="B58" s="267">
        <f t="shared" si="52"/>
        <v>20</v>
      </c>
      <c r="C58" s="264">
        <f t="shared" si="43"/>
        <v>21</v>
      </c>
      <c r="D58" s="265">
        <f t="shared" si="19"/>
        <v>44454.349333333332</v>
      </c>
      <c r="E58" s="266">
        <f t="shared" si="20"/>
        <v>33973.333333333336</v>
      </c>
      <c r="F58" s="266">
        <f t="shared" si="59"/>
        <v>6115.2</v>
      </c>
      <c r="G58" s="266">
        <f t="shared" si="22"/>
        <v>978.43200000000002</v>
      </c>
      <c r="H58" s="266">
        <f t="shared" si="23"/>
        <v>2184</v>
      </c>
      <c r="I58" s="266">
        <f t="shared" si="24"/>
        <v>1203.384</v>
      </c>
      <c r="J58" s="435"/>
      <c r="K58" s="317">
        <f t="shared" si="25"/>
        <v>0</v>
      </c>
      <c r="L58" s="317">
        <f t="shared" si="56"/>
        <v>0</v>
      </c>
      <c r="M58" s="317">
        <f t="shared" si="27"/>
        <v>0</v>
      </c>
      <c r="N58" s="347">
        <f t="shared" si="28"/>
        <v>0</v>
      </c>
      <c r="O58" s="267">
        <f t="shared" si="53"/>
        <v>80</v>
      </c>
      <c r="P58" s="264">
        <f t="shared" si="29"/>
        <v>81</v>
      </c>
      <c r="Q58" s="265">
        <f t="shared" si="30"/>
        <v>54085.513140703493</v>
      </c>
      <c r="R58" s="266">
        <f t="shared" si="31"/>
        <v>41333.754604202659</v>
      </c>
      <c r="S58" s="266">
        <f t="shared" si="32"/>
        <v>7440.0758287564786</v>
      </c>
      <c r="T58" s="266">
        <f t="shared" si="33"/>
        <v>1190.4121326010365</v>
      </c>
      <c r="U58" s="266">
        <f t="shared" si="34"/>
        <v>2657.1699388415996</v>
      </c>
      <c r="V58" s="266">
        <f t="shared" si="35"/>
        <v>1464.1006363017216</v>
      </c>
      <c r="W58" s="435"/>
      <c r="X58" s="317">
        <f t="shared" si="2"/>
        <v>0</v>
      </c>
      <c r="Y58" s="317">
        <f t="shared" si="3"/>
        <v>0</v>
      </c>
      <c r="Z58" s="317">
        <f t="shared" si="4"/>
        <v>0</v>
      </c>
      <c r="AA58" s="347">
        <f t="shared" si="36"/>
        <v>0</v>
      </c>
      <c r="AB58" s="309"/>
      <c r="AC58" s="136"/>
      <c r="AD58" s="136"/>
      <c r="AE58" s="136"/>
      <c r="AF58" s="136"/>
      <c r="AG58" s="13">
        <f t="shared" si="37"/>
        <v>20</v>
      </c>
      <c r="AH58" s="14">
        <f t="shared" si="60"/>
        <v>4615800</v>
      </c>
      <c r="AI58" s="44">
        <f t="shared" si="44"/>
        <v>21</v>
      </c>
      <c r="AJ58" s="55">
        <f t="shared" si="61"/>
        <v>4368000</v>
      </c>
      <c r="AK58" s="59">
        <v>8</v>
      </c>
      <c r="AL58" s="44">
        <f t="shared" si="46"/>
        <v>21</v>
      </c>
      <c r="AM58" s="45">
        <f t="shared" si="39"/>
        <v>44454.349333333332</v>
      </c>
      <c r="AN58" s="44">
        <f t="shared" si="54"/>
        <v>81</v>
      </c>
      <c r="AO58" s="45">
        <f t="shared" si="5"/>
        <v>54085.513140703493</v>
      </c>
      <c r="AP58"/>
      <c r="AQ58" s="46">
        <f t="shared" si="47"/>
        <v>21</v>
      </c>
      <c r="AR58" s="47">
        <f t="shared" si="40"/>
        <v>31360.298666666666</v>
      </c>
      <c r="AS58" s="46">
        <f t="shared" si="55"/>
        <v>81</v>
      </c>
      <c r="AT58" s="47">
        <f t="shared" si="6"/>
        <v>38154.598392930842</v>
      </c>
      <c r="AV58" s="41">
        <f t="shared" si="7"/>
        <v>0</v>
      </c>
      <c r="AW58" s="41">
        <f t="shared" si="8"/>
        <v>0</v>
      </c>
      <c r="AX58" s="43">
        <f t="shared" si="9"/>
        <v>0</v>
      </c>
      <c r="AY58" s="43">
        <f t="shared" si="10"/>
        <v>0</v>
      </c>
      <c r="AZ58" s="11"/>
      <c r="BA58" s="36">
        <f t="shared" si="48"/>
        <v>21</v>
      </c>
      <c r="BB58" s="35">
        <f t="shared" si="57"/>
        <v>44454.349333333332</v>
      </c>
      <c r="BC58" s="120"/>
      <c r="BD58" s="305">
        <f t="shared" si="49"/>
        <v>21</v>
      </c>
      <c r="BE58" s="303">
        <f t="shared" si="58"/>
        <v>31360.298666666666</v>
      </c>
      <c r="BF58" s="208"/>
      <c r="BG58" s="37">
        <f t="shared" si="50"/>
        <v>21</v>
      </c>
      <c r="BH58" s="8">
        <f t="shared" si="12"/>
        <v>354.68159999999995</v>
      </c>
      <c r="BI58" s="8"/>
      <c r="BJ58" s="37">
        <f t="shared" si="51"/>
        <v>21</v>
      </c>
      <c r="BK58" s="8">
        <f t="shared" si="13"/>
        <v>0</v>
      </c>
      <c r="BL58" s="8"/>
      <c r="BM58" s="4">
        <v>20</v>
      </c>
      <c r="BN58" s="14">
        <f t="shared" si="14"/>
        <v>25643.333333333332</v>
      </c>
      <c r="BO58" s="14">
        <f t="shared" si="15"/>
        <v>6462.12</v>
      </c>
      <c r="BP58" s="14">
        <f t="shared" si="42"/>
        <v>1033.9392</v>
      </c>
      <c r="BQ58" s="14">
        <f t="shared" si="16"/>
        <v>2307.9</v>
      </c>
      <c r="BR58" s="38">
        <f t="shared" si="17"/>
        <v>35447.292533333333</v>
      </c>
      <c r="BT58" s="4">
        <v>20</v>
      </c>
      <c r="BU58" s="14">
        <f>SUM(BN$39:BN58)</f>
        <v>485146.66666666657</v>
      </c>
      <c r="BV58" s="14">
        <f>SUM(BO$39:BO58)</f>
        <v>122256.95999999996</v>
      </c>
      <c r="BW58" s="14">
        <f>SUM(BP$39:BP58)</f>
        <v>19561.113600000004</v>
      </c>
      <c r="BX58" s="14">
        <f>SUM(BQ$39:BQ58)</f>
        <v>43663.200000000012</v>
      </c>
      <c r="BY58" s="21">
        <f>SUM(BR$39:BR58)</f>
        <v>670627.94026666647</v>
      </c>
    </row>
    <row r="59" spans="1:77" ht="18" customHeight="1" x14ac:dyDescent="0.25">
      <c r="A59" s="268"/>
      <c r="B59" s="267">
        <f t="shared" si="52"/>
        <v>21</v>
      </c>
      <c r="C59" s="264">
        <f t="shared" si="43"/>
        <v>22</v>
      </c>
      <c r="D59" s="265">
        <f t="shared" si="19"/>
        <v>44454.349333333332</v>
      </c>
      <c r="E59" s="266">
        <f t="shared" si="20"/>
        <v>33973.333333333336</v>
      </c>
      <c r="F59" s="266">
        <f t="shared" si="59"/>
        <v>6115.2</v>
      </c>
      <c r="G59" s="266">
        <f t="shared" si="22"/>
        <v>978.43200000000002</v>
      </c>
      <c r="H59" s="266">
        <f t="shared" si="23"/>
        <v>2184</v>
      </c>
      <c r="I59" s="266">
        <f t="shared" si="24"/>
        <v>1203.384</v>
      </c>
      <c r="J59" s="435"/>
      <c r="K59" s="317">
        <f t="shared" si="25"/>
        <v>0</v>
      </c>
      <c r="L59" s="317">
        <f t="shared" si="56"/>
        <v>0</v>
      </c>
      <c r="M59" s="317">
        <f t="shared" si="27"/>
        <v>0</v>
      </c>
      <c r="N59" s="347">
        <f t="shared" si="28"/>
        <v>0</v>
      </c>
      <c r="O59" s="267">
        <f t="shared" si="53"/>
        <v>81</v>
      </c>
      <c r="P59" s="264">
        <f t="shared" si="29"/>
        <v>82</v>
      </c>
      <c r="Q59" s="265">
        <f t="shared" si="30"/>
        <v>54085.513140703493</v>
      </c>
      <c r="R59" s="266">
        <f t="shared" si="31"/>
        <v>41333.754604202659</v>
      </c>
      <c r="S59" s="266">
        <f t="shared" si="32"/>
        <v>7440.0758287564786</v>
      </c>
      <c r="T59" s="266">
        <f t="shared" si="33"/>
        <v>1190.4121326010365</v>
      </c>
      <c r="U59" s="266">
        <f t="shared" si="34"/>
        <v>2657.1699388415996</v>
      </c>
      <c r="V59" s="266">
        <f t="shared" si="35"/>
        <v>1464.1006363017216</v>
      </c>
      <c r="W59" s="435"/>
      <c r="X59" s="317">
        <f t="shared" si="2"/>
        <v>0</v>
      </c>
      <c r="Y59" s="317">
        <f t="shared" si="3"/>
        <v>0</v>
      </c>
      <c r="Z59" s="317">
        <f t="shared" si="4"/>
        <v>0</v>
      </c>
      <c r="AA59" s="347">
        <f t="shared" si="36"/>
        <v>0</v>
      </c>
      <c r="AB59" s="309"/>
      <c r="AC59" s="136"/>
      <c r="AD59" s="136"/>
      <c r="AE59" s="136"/>
      <c r="AF59" s="136"/>
      <c r="AG59" s="13">
        <f t="shared" si="37"/>
        <v>21</v>
      </c>
      <c r="AH59" s="14">
        <f t="shared" si="60"/>
        <v>4615800</v>
      </c>
      <c r="AI59" s="44">
        <f t="shared" si="44"/>
        <v>22</v>
      </c>
      <c r="AJ59" s="55">
        <f t="shared" si="61"/>
        <v>4368000</v>
      </c>
      <c r="AK59" s="59">
        <v>9</v>
      </c>
      <c r="AL59" s="44">
        <f t="shared" si="46"/>
        <v>22</v>
      </c>
      <c r="AM59" s="45">
        <f t="shared" si="39"/>
        <v>44454.349333333332</v>
      </c>
      <c r="AN59" s="44">
        <f t="shared" si="54"/>
        <v>82</v>
      </c>
      <c r="AO59" s="45">
        <f t="shared" si="5"/>
        <v>54085.513140703493</v>
      </c>
      <c r="AP59"/>
      <c r="AQ59" s="46">
        <f t="shared" si="47"/>
        <v>22</v>
      </c>
      <c r="AR59" s="47">
        <f t="shared" si="40"/>
        <v>31360.298666666666</v>
      </c>
      <c r="AS59" s="46">
        <f t="shared" si="55"/>
        <v>82</v>
      </c>
      <c r="AT59" s="47">
        <f t="shared" si="6"/>
        <v>38154.598392930842</v>
      </c>
      <c r="AV59" s="41">
        <f t="shared" si="7"/>
        <v>0</v>
      </c>
      <c r="AW59" s="41">
        <f t="shared" si="8"/>
        <v>0</v>
      </c>
      <c r="AX59" s="43">
        <f t="shared" si="9"/>
        <v>0</v>
      </c>
      <c r="AY59" s="43">
        <f t="shared" si="10"/>
        <v>0</v>
      </c>
      <c r="AZ59" s="11"/>
      <c r="BA59" s="36">
        <f t="shared" si="48"/>
        <v>22</v>
      </c>
      <c r="BB59" s="35">
        <f t="shared" si="57"/>
        <v>44454.349333333332</v>
      </c>
      <c r="BC59" s="120"/>
      <c r="BD59" s="305">
        <f t="shared" si="49"/>
        <v>22</v>
      </c>
      <c r="BE59" s="303">
        <f t="shared" si="58"/>
        <v>31360.298666666666</v>
      </c>
      <c r="BF59" s="208"/>
      <c r="BG59" s="37">
        <f t="shared" si="50"/>
        <v>22</v>
      </c>
      <c r="BH59" s="8">
        <f t="shared" si="12"/>
        <v>354.68159999999995</v>
      </c>
      <c r="BI59" s="8"/>
      <c r="BJ59" s="37">
        <f t="shared" si="51"/>
        <v>22</v>
      </c>
      <c r="BK59" s="8">
        <f t="shared" si="13"/>
        <v>0</v>
      </c>
      <c r="BL59" s="8"/>
      <c r="BM59" s="4">
        <v>21</v>
      </c>
      <c r="BN59" s="14">
        <f t="shared" si="14"/>
        <v>25643.333333333332</v>
      </c>
      <c r="BO59" s="14">
        <f t="shared" si="15"/>
        <v>6462.12</v>
      </c>
      <c r="BP59" s="14">
        <f t="shared" si="42"/>
        <v>1033.9392</v>
      </c>
      <c r="BQ59" s="14">
        <f t="shared" si="16"/>
        <v>2307.9</v>
      </c>
      <c r="BR59" s="38">
        <f t="shared" si="17"/>
        <v>35447.292533333333</v>
      </c>
      <c r="BT59" s="4">
        <v>21</v>
      </c>
      <c r="BU59" s="14">
        <f>SUM(BN$39:BN59)</f>
        <v>510789.99999999988</v>
      </c>
      <c r="BV59" s="14">
        <f>SUM(BO$39:BO59)</f>
        <v>128719.07999999996</v>
      </c>
      <c r="BW59" s="14">
        <f>SUM(BP$39:BP59)</f>
        <v>20595.052800000005</v>
      </c>
      <c r="BX59" s="14">
        <f>SUM(BQ$39:BQ59)</f>
        <v>45971.100000000013</v>
      </c>
      <c r="BY59" s="21">
        <f>SUM(BR$39:BR59)</f>
        <v>706075.23279999977</v>
      </c>
    </row>
    <row r="60" spans="1:77" ht="18" customHeight="1" x14ac:dyDescent="0.25">
      <c r="A60" s="268"/>
      <c r="B60" s="267">
        <f t="shared" si="52"/>
        <v>22</v>
      </c>
      <c r="C60" s="264">
        <f t="shared" si="43"/>
        <v>23</v>
      </c>
      <c r="D60" s="265">
        <f t="shared" si="19"/>
        <v>44454.349333333332</v>
      </c>
      <c r="E60" s="266">
        <f t="shared" si="20"/>
        <v>33973.333333333336</v>
      </c>
      <c r="F60" s="266">
        <f t="shared" si="59"/>
        <v>6115.2</v>
      </c>
      <c r="G60" s="266">
        <f t="shared" si="22"/>
        <v>978.43200000000002</v>
      </c>
      <c r="H60" s="266">
        <f t="shared" si="23"/>
        <v>2184</v>
      </c>
      <c r="I60" s="266">
        <f t="shared" si="24"/>
        <v>1203.384</v>
      </c>
      <c r="J60" s="435"/>
      <c r="K60" s="317">
        <f t="shared" si="25"/>
        <v>0</v>
      </c>
      <c r="L60" s="317">
        <f t="shared" si="56"/>
        <v>0</v>
      </c>
      <c r="M60" s="317">
        <f t="shared" si="27"/>
        <v>0</v>
      </c>
      <c r="N60" s="347">
        <f t="shared" si="28"/>
        <v>0</v>
      </c>
      <c r="O60" s="267">
        <f t="shared" si="53"/>
        <v>82</v>
      </c>
      <c r="P60" s="264">
        <f t="shared" si="29"/>
        <v>83</v>
      </c>
      <c r="Q60" s="265">
        <f t="shared" si="30"/>
        <v>54085.513140703493</v>
      </c>
      <c r="R60" s="266">
        <f t="shared" si="31"/>
        <v>41333.754604202659</v>
      </c>
      <c r="S60" s="266">
        <f t="shared" si="32"/>
        <v>7440.0758287564786</v>
      </c>
      <c r="T60" s="266">
        <f t="shared" si="33"/>
        <v>1190.4121326010365</v>
      </c>
      <c r="U60" s="266">
        <f t="shared" si="34"/>
        <v>2657.1699388415996</v>
      </c>
      <c r="V60" s="266">
        <f t="shared" si="35"/>
        <v>1464.1006363017216</v>
      </c>
      <c r="W60" s="435"/>
      <c r="X60" s="317">
        <f t="shared" si="2"/>
        <v>0</v>
      </c>
      <c r="Y60" s="317">
        <f t="shared" si="3"/>
        <v>0</v>
      </c>
      <c r="Z60" s="317">
        <f t="shared" si="4"/>
        <v>0</v>
      </c>
      <c r="AA60" s="347">
        <f t="shared" si="36"/>
        <v>0</v>
      </c>
      <c r="AB60" s="309"/>
      <c r="AC60" s="136"/>
      <c r="AD60" s="136"/>
      <c r="AE60" s="136"/>
      <c r="AF60" s="136"/>
      <c r="AG60" s="13">
        <f t="shared" si="37"/>
        <v>22</v>
      </c>
      <c r="AH60" s="14">
        <f t="shared" si="60"/>
        <v>4615800</v>
      </c>
      <c r="AI60" s="44">
        <f t="shared" si="44"/>
        <v>23</v>
      </c>
      <c r="AJ60" s="55">
        <f t="shared" si="61"/>
        <v>4368000</v>
      </c>
      <c r="AK60" s="59">
        <v>10</v>
      </c>
      <c r="AL60" s="44">
        <f t="shared" si="46"/>
        <v>23</v>
      </c>
      <c r="AM60" s="45">
        <f t="shared" si="39"/>
        <v>44454.349333333332</v>
      </c>
      <c r="AN60" s="44">
        <f t="shared" si="54"/>
        <v>83</v>
      </c>
      <c r="AO60" s="45">
        <f t="shared" si="5"/>
        <v>54085.513140703493</v>
      </c>
      <c r="AP60"/>
      <c r="AQ60" s="46">
        <f t="shared" si="47"/>
        <v>23</v>
      </c>
      <c r="AR60" s="47">
        <f t="shared" si="40"/>
        <v>31360.298666666666</v>
      </c>
      <c r="AS60" s="46">
        <f t="shared" si="55"/>
        <v>83</v>
      </c>
      <c r="AT60" s="47">
        <f t="shared" si="6"/>
        <v>38154.598392930842</v>
      </c>
      <c r="AV60" s="41">
        <f t="shared" si="7"/>
        <v>0</v>
      </c>
      <c r="AW60" s="41">
        <f t="shared" si="8"/>
        <v>0</v>
      </c>
      <c r="AX60" s="43">
        <f t="shared" si="9"/>
        <v>0</v>
      </c>
      <c r="AY60" s="43">
        <f t="shared" si="10"/>
        <v>0</v>
      </c>
      <c r="AZ60" s="11"/>
      <c r="BA60" s="36">
        <f t="shared" si="48"/>
        <v>23</v>
      </c>
      <c r="BB60" s="35">
        <f t="shared" si="57"/>
        <v>44454.349333333332</v>
      </c>
      <c r="BC60" s="120"/>
      <c r="BD60" s="305">
        <f t="shared" si="49"/>
        <v>23</v>
      </c>
      <c r="BE60" s="303">
        <f t="shared" si="58"/>
        <v>31360.298666666666</v>
      </c>
      <c r="BF60" s="208"/>
      <c r="BG60" s="37">
        <f t="shared" si="50"/>
        <v>23</v>
      </c>
      <c r="BH60" s="8">
        <f t="shared" si="12"/>
        <v>354.68159999999995</v>
      </c>
      <c r="BI60" s="8"/>
      <c r="BJ60" s="37">
        <f t="shared" si="51"/>
        <v>23</v>
      </c>
      <c r="BK60" s="8">
        <f t="shared" si="13"/>
        <v>0</v>
      </c>
      <c r="BL60" s="8"/>
      <c r="BM60" s="4">
        <v>22</v>
      </c>
      <c r="BN60" s="14">
        <f t="shared" si="14"/>
        <v>25643.333333333332</v>
      </c>
      <c r="BO60" s="14">
        <f t="shared" si="15"/>
        <v>6462.12</v>
      </c>
      <c r="BP60" s="14">
        <f t="shared" si="42"/>
        <v>1033.9392</v>
      </c>
      <c r="BQ60" s="14">
        <f t="shared" si="16"/>
        <v>2307.9</v>
      </c>
      <c r="BR60" s="38">
        <f t="shared" si="17"/>
        <v>35447.292533333333</v>
      </c>
      <c r="BT60" s="4">
        <v>22</v>
      </c>
      <c r="BU60" s="14">
        <f>SUM(BN$39:BN60)</f>
        <v>536433.33333333326</v>
      </c>
      <c r="BV60" s="14">
        <f>SUM(BO$39:BO60)</f>
        <v>135181.19999999995</v>
      </c>
      <c r="BW60" s="14">
        <f>SUM(BP$39:BP60)</f>
        <v>21628.992000000006</v>
      </c>
      <c r="BX60" s="14">
        <f>SUM(BQ$39:BQ60)</f>
        <v>48279.000000000015</v>
      </c>
      <c r="BY60" s="21">
        <f>SUM(BR$39:BR60)</f>
        <v>741522.52533333306</v>
      </c>
    </row>
    <row r="61" spans="1:77" ht="18" customHeight="1" x14ac:dyDescent="0.25">
      <c r="A61" s="268"/>
      <c r="B61" s="267">
        <f t="shared" si="52"/>
        <v>23</v>
      </c>
      <c r="C61" s="264">
        <f t="shared" si="43"/>
        <v>24</v>
      </c>
      <c r="D61" s="265">
        <f t="shared" si="19"/>
        <v>44454.349333333332</v>
      </c>
      <c r="E61" s="266">
        <f t="shared" si="20"/>
        <v>33973.333333333336</v>
      </c>
      <c r="F61" s="266">
        <f t="shared" si="59"/>
        <v>6115.2</v>
      </c>
      <c r="G61" s="266">
        <f t="shared" si="22"/>
        <v>978.43200000000002</v>
      </c>
      <c r="H61" s="266">
        <f t="shared" si="23"/>
        <v>2184</v>
      </c>
      <c r="I61" s="266">
        <f t="shared" si="24"/>
        <v>1203.384</v>
      </c>
      <c r="J61" s="435"/>
      <c r="K61" s="317">
        <f t="shared" si="25"/>
        <v>0</v>
      </c>
      <c r="L61" s="317">
        <f t="shared" si="56"/>
        <v>0</v>
      </c>
      <c r="M61" s="317">
        <f t="shared" si="27"/>
        <v>0</v>
      </c>
      <c r="N61" s="347">
        <f t="shared" si="28"/>
        <v>0</v>
      </c>
      <c r="O61" s="267">
        <f t="shared" si="53"/>
        <v>83</v>
      </c>
      <c r="P61" s="264">
        <f t="shared" si="29"/>
        <v>84</v>
      </c>
      <c r="Q61" s="265">
        <f t="shared" si="30"/>
        <v>54085.513140703493</v>
      </c>
      <c r="R61" s="266">
        <f t="shared" si="31"/>
        <v>41333.754604202659</v>
      </c>
      <c r="S61" s="266">
        <f t="shared" si="32"/>
        <v>7440.0758287564786</v>
      </c>
      <c r="T61" s="266">
        <f t="shared" si="33"/>
        <v>1190.4121326010365</v>
      </c>
      <c r="U61" s="266">
        <f t="shared" si="34"/>
        <v>2657.1699388415996</v>
      </c>
      <c r="V61" s="266">
        <f t="shared" si="35"/>
        <v>1464.1006363017216</v>
      </c>
      <c r="W61" s="435"/>
      <c r="X61" s="317">
        <f t="shared" si="2"/>
        <v>0</v>
      </c>
      <c r="Y61" s="317">
        <f t="shared" si="3"/>
        <v>0</v>
      </c>
      <c r="Z61" s="317">
        <f t="shared" si="4"/>
        <v>0</v>
      </c>
      <c r="AA61" s="347">
        <f t="shared" si="36"/>
        <v>0</v>
      </c>
      <c r="AB61" s="309"/>
      <c r="AC61" s="136"/>
      <c r="AD61" s="136"/>
      <c r="AE61" s="136"/>
      <c r="AF61" s="136"/>
      <c r="AG61" s="13">
        <f t="shared" si="37"/>
        <v>23</v>
      </c>
      <c r="AH61" s="14">
        <f t="shared" si="60"/>
        <v>4615800</v>
      </c>
      <c r="AI61" s="44">
        <f t="shared" si="44"/>
        <v>24</v>
      </c>
      <c r="AJ61" s="55">
        <f t="shared" si="61"/>
        <v>4368000</v>
      </c>
      <c r="AK61" s="59">
        <v>11</v>
      </c>
      <c r="AL61" s="44">
        <f t="shared" si="46"/>
        <v>24</v>
      </c>
      <c r="AM61" s="45">
        <f t="shared" si="39"/>
        <v>44454.349333333332</v>
      </c>
      <c r="AN61" s="44">
        <f t="shared" si="54"/>
        <v>84</v>
      </c>
      <c r="AO61" s="45">
        <f t="shared" si="5"/>
        <v>54085.513140703493</v>
      </c>
      <c r="AP61"/>
      <c r="AQ61" s="46">
        <f t="shared" si="47"/>
        <v>24</v>
      </c>
      <c r="AR61" s="47">
        <f t="shared" si="40"/>
        <v>31360.298666666666</v>
      </c>
      <c r="AS61" s="46">
        <f t="shared" si="55"/>
        <v>84</v>
      </c>
      <c r="AT61" s="47">
        <f t="shared" si="6"/>
        <v>38154.598392930842</v>
      </c>
      <c r="AV61" s="41">
        <f t="shared" si="7"/>
        <v>0</v>
      </c>
      <c r="AW61" s="41">
        <f t="shared" si="8"/>
        <v>0</v>
      </c>
      <c r="AX61" s="43">
        <f t="shared" si="9"/>
        <v>0</v>
      </c>
      <c r="AY61" s="43">
        <f t="shared" si="10"/>
        <v>0</v>
      </c>
      <c r="AZ61" s="11"/>
      <c r="BA61" s="36">
        <f t="shared" si="48"/>
        <v>24</v>
      </c>
      <c r="BB61" s="35">
        <f t="shared" si="57"/>
        <v>44454.349333333332</v>
      </c>
      <c r="BC61" s="120"/>
      <c r="BD61" s="305">
        <f t="shared" si="49"/>
        <v>24</v>
      </c>
      <c r="BE61" s="303">
        <f t="shared" si="58"/>
        <v>31360.298666666666</v>
      </c>
      <c r="BF61" s="208"/>
      <c r="BG61" s="37">
        <f t="shared" si="50"/>
        <v>24</v>
      </c>
      <c r="BH61" s="8">
        <f t="shared" si="12"/>
        <v>354.68159999999995</v>
      </c>
      <c r="BI61" s="8"/>
      <c r="BJ61" s="37">
        <f t="shared" si="51"/>
        <v>24</v>
      </c>
      <c r="BK61" s="8">
        <f t="shared" si="13"/>
        <v>0</v>
      </c>
      <c r="BL61" s="8"/>
      <c r="BM61" s="4">
        <v>23</v>
      </c>
      <c r="BN61" s="14">
        <f t="shared" si="14"/>
        <v>25643.333333333332</v>
      </c>
      <c r="BO61" s="14">
        <f t="shared" si="15"/>
        <v>6462.12</v>
      </c>
      <c r="BP61" s="14">
        <f t="shared" si="42"/>
        <v>1033.9392</v>
      </c>
      <c r="BQ61" s="14">
        <f t="shared" si="16"/>
        <v>2307.9</v>
      </c>
      <c r="BR61" s="38">
        <f t="shared" si="17"/>
        <v>35447.292533333333</v>
      </c>
      <c r="BT61" s="4">
        <v>23</v>
      </c>
      <c r="BU61" s="14">
        <f>SUM(BN$39:BN61)</f>
        <v>562076.66666666663</v>
      </c>
      <c r="BV61" s="14">
        <f>SUM(BO$39:BO61)</f>
        <v>141643.31999999995</v>
      </c>
      <c r="BW61" s="14">
        <f>SUM(BP$39:BP61)</f>
        <v>22662.931200000006</v>
      </c>
      <c r="BX61" s="14">
        <f>SUM(BQ$39:BQ61)</f>
        <v>50586.900000000016</v>
      </c>
      <c r="BY61" s="21">
        <f>SUM(BR$39:BR61)</f>
        <v>776969.81786666636</v>
      </c>
    </row>
    <row r="62" spans="1:77" ht="18" customHeight="1" x14ac:dyDescent="0.25">
      <c r="A62" s="268"/>
      <c r="B62" s="267">
        <f t="shared" si="52"/>
        <v>24</v>
      </c>
      <c r="C62" s="264">
        <f t="shared" si="43"/>
        <v>25</v>
      </c>
      <c r="D62" s="265">
        <f t="shared" si="19"/>
        <v>44454.349333333332</v>
      </c>
      <c r="E62" s="266">
        <f t="shared" si="20"/>
        <v>33973.333333333336</v>
      </c>
      <c r="F62" s="266">
        <f t="shared" si="59"/>
        <v>6115.2</v>
      </c>
      <c r="G62" s="266">
        <f t="shared" si="22"/>
        <v>978.43200000000002</v>
      </c>
      <c r="H62" s="266">
        <f t="shared" si="23"/>
        <v>2184</v>
      </c>
      <c r="I62" s="266">
        <f t="shared" si="24"/>
        <v>1203.384</v>
      </c>
      <c r="J62" s="435"/>
      <c r="K62" s="317">
        <f t="shared" si="25"/>
        <v>0</v>
      </c>
      <c r="L62" s="317">
        <f t="shared" si="56"/>
        <v>0</v>
      </c>
      <c r="M62" s="317">
        <f t="shared" si="27"/>
        <v>0</v>
      </c>
      <c r="N62" s="347">
        <f t="shared" si="28"/>
        <v>0</v>
      </c>
      <c r="O62" s="267">
        <f t="shared" si="53"/>
        <v>84</v>
      </c>
      <c r="P62" s="264">
        <f t="shared" si="29"/>
        <v>85</v>
      </c>
      <c r="Q62" s="265">
        <f t="shared" si="30"/>
        <v>54085.513140703493</v>
      </c>
      <c r="R62" s="266">
        <f t="shared" si="31"/>
        <v>41333.754604202659</v>
      </c>
      <c r="S62" s="266">
        <f t="shared" si="32"/>
        <v>7440.0758287564786</v>
      </c>
      <c r="T62" s="266">
        <f t="shared" si="33"/>
        <v>1190.4121326010365</v>
      </c>
      <c r="U62" s="266">
        <f t="shared" si="34"/>
        <v>2657.1699388415996</v>
      </c>
      <c r="V62" s="266">
        <f t="shared" si="35"/>
        <v>1464.1006363017216</v>
      </c>
      <c r="W62" s="435"/>
      <c r="X62" s="317">
        <f t="shared" si="2"/>
        <v>0</v>
      </c>
      <c r="Y62" s="317">
        <f t="shared" si="3"/>
        <v>0</v>
      </c>
      <c r="Z62" s="317">
        <f t="shared" si="4"/>
        <v>0</v>
      </c>
      <c r="AA62" s="347">
        <f t="shared" si="36"/>
        <v>0</v>
      </c>
      <c r="AB62" s="309"/>
      <c r="AC62" s="136"/>
      <c r="AD62" s="136"/>
      <c r="AE62" s="136"/>
      <c r="AF62" s="136"/>
      <c r="AG62" s="13">
        <f t="shared" si="37"/>
        <v>24</v>
      </c>
      <c r="AH62" s="14">
        <f t="shared" si="60"/>
        <v>4615800</v>
      </c>
      <c r="AI62" s="44">
        <f t="shared" si="44"/>
        <v>25</v>
      </c>
      <c r="AJ62" s="55">
        <f t="shared" si="61"/>
        <v>4368000</v>
      </c>
      <c r="AK62" s="59">
        <v>12</v>
      </c>
      <c r="AL62" s="44">
        <f t="shared" si="46"/>
        <v>25</v>
      </c>
      <c r="AM62" s="45">
        <f t="shared" si="39"/>
        <v>44454.349333333332</v>
      </c>
      <c r="AN62" s="44">
        <f t="shared" si="54"/>
        <v>85</v>
      </c>
      <c r="AO62" s="45">
        <f t="shared" si="5"/>
        <v>54085.513140703493</v>
      </c>
      <c r="AP62"/>
      <c r="AQ62" s="46">
        <f t="shared" si="47"/>
        <v>25</v>
      </c>
      <c r="AR62" s="47">
        <f t="shared" si="40"/>
        <v>31360.298666666666</v>
      </c>
      <c r="AS62" s="46">
        <f t="shared" si="55"/>
        <v>85</v>
      </c>
      <c r="AT62" s="47">
        <f t="shared" si="6"/>
        <v>38154.598392930842</v>
      </c>
      <c r="AV62" s="41">
        <f t="shared" si="7"/>
        <v>0</v>
      </c>
      <c r="AW62" s="41">
        <f t="shared" si="8"/>
        <v>0</v>
      </c>
      <c r="AX62" s="43">
        <f t="shared" si="9"/>
        <v>0</v>
      </c>
      <c r="AY62" s="43">
        <f t="shared" si="10"/>
        <v>0</v>
      </c>
      <c r="AZ62" s="11"/>
      <c r="BA62" s="36">
        <f t="shared" si="48"/>
        <v>25</v>
      </c>
      <c r="BB62" s="35">
        <f t="shared" si="57"/>
        <v>44454.349333333332</v>
      </c>
      <c r="BC62" s="120"/>
      <c r="BD62" s="305">
        <f t="shared" si="49"/>
        <v>25</v>
      </c>
      <c r="BE62" s="303">
        <f t="shared" si="58"/>
        <v>31360.298666666666</v>
      </c>
      <c r="BF62" s="208"/>
      <c r="BG62" s="37">
        <f t="shared" si="50"/>
        <v>25</v>
      </c>
      <c r="BH62" s="8">
        <f t="shared" si="12"/>
        <v>354.68159999999995</v>
      </c>
      <c r="BI62" s="8"/>
      <c r="BJ62" s="37">
        <f t="shared" si="51"/>
        <v>25</v>
      </c>
      <c r="BK62" s="8">
        <f t="shared" si="13"/>
        <v>0</v>
      </c>
      <c r="BL62" s="8"/>
      <c r="BM62" s="4">
        <v>24</v>
      </c>
      <c r="BN62" s="14">
        <f t="shared" si="14"/>
        <v>25643.333333333332</v>
      </c>
      <c r="BO62" s="14">
        <f t="shared" si="15"/>
        <v>6462.12</v>
      </c>
      <c r="BP62" s="14">
        <f t="shared" si="42"/>
        <v>1033.9392</v>
      </c>
      <c r="BQ62" s="14">
        <f t="shared" si="16"/>
        <v>2307.9</v>
      </c>
      <c r="BR62" s="38">
        <f t="shared" si="17"/>
        <v>35447.292533333333</v>
      </c>
      <c r="BT62" s="4">
        <v>24</v>
      </c>
      <c r="BU62" s="14">
        <f>SUM(BN$39:BN62)</f>
        <v>587720</v>
      </c>
      <c r="BV62" s="14">
        <f>SUM(BO$39:BO62)</f>
        <v>148105.43999999994</v>
      </c>
      <c r="BW62" s="14">
        <f>SUM(BP$39:BP62)</f>
        <v>23696.870400000007</v>
      </c>
      <c r="BX62" s="14">
        <f>SUM(BQ$39:BQ62)</f>
        <v>52894.800000000017</v>
      </c>
      <c r="BY62" s="21">
        <f>SUM(BR$39:BR62)</f>
        <v>812417.11039999966</v>
      </c>
    </row>
    <row r="63" spans="1:77" ht="18" customHeight="1" x14ac:dyDescent="0.25">
      <c r="A63" s="268"/>
      <c r="B63" s="267">
        <f t="shared" si="52"/>
        <v>25</v>
      </c>
      <c r="C63" s="264">
        <f t="shared" si="43"/>
        <v>26</v>
      </c>
      <c r="D63" s="265">
        <f t="shared" si="19"/>
        <v>46232.523306666662</v>
      </c>
      <c r="E63" s="266">
        <f t="shared" si="20"/>
        <v>35332.266666666663</v>
      </c>
      <c r="F63" s="266">
        <f t="shared" si="59"/>
        <v>6359.808</v>
      </c>
      <c r="G63" s="266">
        <f t="shared" si="22"/>
        <v>1017.56928</v>
      </c>
      <c r="H63" s="266">
        <f t="shared" si="23"/>
        <v>2271.36</v>
      </c>
      <c r="I63" s="266">
        <f t="shared" si="24"/>
        <v>1251.5193600000002</v>
      </c>
      <c r="J63" s="435">
        <f>'Resumen Flex'!K38</f>
        <v>0</v>
      </c>
      <c r="K63" s="317">
        <f t="shared" si="25"/>
        <v>0</v>
      </c>
      <c r="L63" s="317">
        <f>IF(J63=0,0,($AJ63*$G$15*(100%-$BE$28)*$AX63))</f>
        <v>0</v>
      </c>
      <c r="M63" s="317">
        <f t="shared" si="27"/>
        <v>0</v>
      </c>
      <c r="N63" s="347">
        <f t="shared" si="28"/>
        <v>0</v>
      </c>
      <c r="O63" s="267">
        <f t="shared" si="53"/>
        <v>85</v>
      </c>
      <c r="P63" s="264">
        <f t="shared" si="29"/>
        <v>86</v>
      </c>
      <c r="Q63" s="265">
        <f t="shared" si="30"/>
        <v>56248.933666331635</v>
      </c>
      <c r="R63" s="266">
        <f t="shared" si="31"/>
        <v>42987.104788370765</v>
      </c>
      <c r="S63" s="266">
        <f t="shared" si="32"/>
        <v>7737.6788619067383</v>
      </c>
      <c r="T63" s="266">
        <f t="shared" si="33"/>
        <v>1238.0286179050781</v>
      </c>
      <c r="U63" s="266">
        <f t="shared" si="34"/>
        <v>2763.4567363952638</v>
      </c>
      <c r="V63" s="266">
        <f t="shared" si="35"/>
        <v>1522.6646617537904</v>
      </c>
      <c r="W63" s="435">
        <f>'Resumen Flex'!K43</f>
        <v>0</v>
      </c>
      <c r="X63" s="317">
        <f t="shared" si="2"/>
        <v>0</v>
      </c>
      <c r="Y63" s="317">
        <f t="shared" si="3"/>
        <v>0</v>
      </c>
      <c r="Z63" s="317">
        <f t="shared" si="4"/>
        <v>0</v>
      </c>
      <c r="AA63" s="347">
        <f t="shared" si="36"/>
        <v>0</v>
      </c>
      <c r="AB63" s="309"/>
      <c r="AC63" s="136"/>
      <c r="AD63" s="136"/>
      <c r="AE63" s="136"/>
      <c r="AF63" s="136"/>
      <c r="AG63" s="13">
        <f t="shared" si="37"/>
        <v>25</v>
      </c>
      <c r="AH63" s="14">
        <f>((AH62)+(AH62*$D$29))</f>
        <v>5072764.2</v>
      </c>
      <c r="AI63" s="44">
        <f t="shared" si="44"/>
        <v>26</v>
      </c>
      <c r="AJ63" s="55">
        <f>((AJ62)+(AJ62*$E$29))</f>
        <v>4542720</v>
      </c>
      <c r="AK63" s="59">
        <v>1</v>
      </c>
      <c r="AL63" s="44">
        <f t="shared" si="46"/>
        <v>26</v>
      </c>
      <c r="AM63" s="45">
        <f t="shared" si="39"/>
        <v>46232.523306666662</v>
      </c>
      <c r="AN63" s="44">
        <f t="shared" si="54"/>
        <v>86</v>
      </c>
      <c r="AO63" s="45">
        <f t="shared" si="5"/>
        <v>56248.933666331635</v>
      </c>
      <c r="AP63" s="42"/>
      <c r="AQ63" s="46">
        <f t="shared" si="47"/>
        <v>26</v>
      </c>
      <c r="AR63" s="47">
        <f t="shared" si="40"/>
        <v>32614.710613333329</v>
      </c>
      <c r="AS63" s="46">
        <f t="shared" si="55"/>
        <v>86</v>
      </c>
      <c r="AT63" s="47">
        <f t="shared" si="6"/>
        <v>39680.782328648078</v>
      </c>
      <c r="AV63" s="41">
        <f t="shared" si="7"/>
        <v>0</v>
      </c>
      <c r="AW63" s="41">
        <f t="shared" si="8"/>
        <v>0</v>
      </c>
      <c r="AX63" s="43">
        <f t="shared" si="9"/>
        <v>0</v>
      </c>
      <c r="AY63" s="43">
        <f t="shared" si="10"/>
        <v>0</v>
      </c>
      <c r="AZ63" s="11"/>
      <c r="BA63" s="36">
        <f t="shared" si="48"/>
        <v>26</v>
      </c>
      <c r="BB63" s="35">
        <f t="shared" si="57"/>
        <v>46232.523306666662</v>
      </c>
      <c r="BC63" s="120"/>
      <c r="BD63" s="306">
        <f t="shared" si="49"/>
        <v>26</v>
      </c>
      <c r="BE63" s="303">
        <f t="shared" ref="BE63:BE74" si="62">AJ63/$B$10+AJ63*($G$15*(100%-$BE$28)*1.16)</f>
        <v>32614.710613333329</v>
      </c>
      <c r="BF63" s="208"/>
      <c r="BG63" s="37">
        <f t="shared" si="50"/>
        <v>26</v>
      </c>
      <c r="BH63" s="8">
        <f t="shared" si="12"/>
        <v>368.86886399999997</v>
      </c>
      <c r="BI63" s="8"/>
      <c r="BJ63" s="37">
        <f t="shared" si="51"/>
        <v>26</v>
      </c>
      <c r="BK63" s="8">
        <f t="shared" si="13"/>
        <v>0</v>
      </c>
      <c r="BL63" s="8"/>
      <c r="BM63" s="4">
        <v>25</v>
      </c>
      <c r="BN63" s="14">
        <f t="shared" si="14"/>
        <v>28182.023333333334</v>
      </c>
      <c r="BO63" s="14">
        <f t="shared" si="15"/>
        <v>7101.8698800000002</v>
      </c>
      <c r="BP63" s="14">
        <f t="shared" si="42"/>
        <v>1136.2991808000002</v>
      </c>
      <c r="BQ63" s="14">
        <f t="shared" si="16"/>
        <v>2536.3821000000003</v>
      </c>
      <c r="BR63" s="38">
        <f t="shared" si="17"/>
        <v>38956.57449413334</v>
      </c>
      <c r="BT63" s="4">
        <v>25</v>
      </c>
      <c r="BU63" s="14">
        <f>SUM(BN$39:BN63)</f>
        <v>615902.02333333332</v>
      </c>
      <c r="BV63" s="14">
        <f>SUM(BO$39:BO63)</f>
        <v>155207.30987999996</v>
      </c>
      <c r="BW63" s="14">
        <f>SUM(BP$39:BP63)</f>
        <v>24833.169580800008</v>
      </c>
      <c r="BX63" s="14">
        <f>SUM(BQ$39:BQ63)</f>
        <v>55431.18210000002</v>
      </c>
      <c r="BY63" s="21">
        <f>SUM(BR$39:BR63)</f>
        <v>851373.68489413301</v>
      </c>
    </row>
    <row r="64" spans="1:77" ht="18" customHeight="1" x14ac:dyDescent="0.25">
      <c r="A64" s="268"/>
      <c r="B64" s="267">
        <f t="shared" si="52"/>
        <v>26</v>
      </c>
      <c r="C64" s="264">
        <f t="shared" si="43"/>
        <v>27</v>
      </c>
      <c r="D64" s="265">
        <f t="shared" si="19"/>
        <v>46232.523306666662</v>
      </c>
      <c r="E64" s="266">
        <f t="shared" si="20"/>
        <v>35332.266666666663</v>
      </c>
      <c r="F64" s="266">
        <f t="shared" si="59"/>
        <v>6359.808</v>
      </c>
      <c r="G64" s="266">
        <f t="shared" si="22"/>
        <v>1017.56928</v>
      </c>
      <c r="H64" s="266">
        <f t="shared" si="23"/>
        <v>2271.36</v>
      </c>
      <c r="I64" s="266">
        <f t="shared" si="24"/>
        <v>1251.5193600000002</v>
      </c>
      <c r="J64" s="435"/>
      <c r="K64" s="317">
        <f t="shared" si="25"/>
        <v>0</v>
      </c>
      <c r="L64" s="317">
        <f t="shared" ref="L64:L74" si="63">IF(J64=0,0,($AJ64*$G$15*(100%-$BE$28)*$AX64))</f>
        <v>0</v>
      </c>
      <c r="M64" s="317">
        <f t="shared" si="27"/>
        <v>0</v>
      </c>
      <c r="N64" s="347">
        <f t="shared" si="28"/>
        <v>0</v>
      </c>
      <c r="O64" s="267">
        <f t="shared" si="53"/>
        <v>86</v>
      </c>
      <c r="P64" s="264">
        <f t="shared" si="29"/>
        <v>87</v>
      </c>
      <c r="Q64" s="265">
        <f t="shared" si="30"/>
        <v>56248.933666331635</v>
      </c>
      <c r="R64" s="266">
        <f t="shared" si="31"/>
        <v>42987.104788370765</v>
      </c>
      <c r="S64" s="266">
        <f t="shared" si="32"/>
        <v>7737.6788619067383</v>
      </c>
      <c r="T64" s="266">
        <f t="shared" si="33"/>
        <v>1238.0286179050781</v>
      </c>
      <c r="U64" s="266">
        <f t="shared" si="34"/>
        <v>2763.4567363952638</v>
      </c>
      <c r="V64" s="266">
        <f t="shared" si="35"/>
        <v>1522.6646617537904</v>
      </c>
      <c r="W64" s="435"/>
      <c r="X64" s="317">
        <f t="shared" si="2"/>
        <v>0</v>
      </c>
      <c r="Y64" s="317">
        <f t="shared" si="3"/>
        <v>0</v>
      </c>
      <c r="Z64" s="317">
        <f t="shared" si="4"/>
        <v>0</v>
      </c>
      <c r="AA64" s="347">
        <f t="shared" si="36"/>
        <v>0</v>
      </c>
      <c r="AB64" s="309"/>
      <c r="AC64" s="136"/>
      <c r="AD64" s="136"/>
      <c r="AE64" s="136"/>
      <c r="AF64" s="136"/>
      <c r="AG64" s="13">
        <f t="shared" si="37"/>
        <v>26</v>
      </c>
      <c r="AH64" s="14">
        <f t="shared" ref="AH64:AH74" si="64">AH63</f>
        <v>5072764.2</v>
      </c>
      <c r="AI64" s="44">
        <f t="shared" si="44"/>
        <v>27</v>
      </c>
      <c r="AJ64" s="55">
        <f>AJ63</f>
        <v>4542720</v>
      </c>
      <c r="AK64" s="59">
        <v>2</v>
      </c>
      <c r="AL64" s="44">
        <f t="shared" si="46"/>
        <v>27</v>
      </c>
      <c r="AM64" s="45">
        <f t="shared" si="39"/>
        <v>46232.523306666662</v>
      </c>
      <c r="AN64" s="44">
        <f t="shared" si="54"/>
        <v>87</v>
      </c>
      <c r="AO64" s="45">
        <f t="shared" si="5"/>
        <v>56248.933666331635</v>
      </c>
      <c r="AP64" s="42"/>
      <c r="AQ64" s="46">
        <f t="shared" si="47"/>
        <v>27</v>
      </c>
      <c r="AR64" s="47">
        <f t="shared" si="40"/>
        <v>32614.710613333329</v>
      </c>
      <c r="AS64" s="46">
        <f t="shared" si="55"/>
        <v>87</v>
      </c>
      <c r="AT64" s="47">
        <f t="shared" si="6"/>
        <v>39680.782328648078</v>
      </c>
      <c r="AV64" s="41">
        <f t="shared" si="7"/>
        <v>0</v>
      </c>
      <c r="AW64" s="41">
        <f t="shared" si="8"/>
        <v>0</v>
      </c>
      <c r="AX64" s="43">
        <f t="shared" si="9"/>
        <v>0</v>
      </c>
      <c r="AY64" s="43">
        <f t="shared" si="10"/>
        <v>0</v>
      </c>
      <c r="AZ64" s="11"/>
      <c r="BA64" s="36">
        <f t="shared" si="48"/>
        <v>27</v>
      </c>
      <c r="BB64" s="35">
        <f t="shared" si="57"/>
        <v>46232.523306666662</v>
      </c>
      <c r="BC64" s="120"/>
      <c r="BD64" s="306">
        <f t="shared" si="49"/>
        <v>27</v>
      </c>
      <c r="BE64" s="303">
        <f t="shared" si="62"/>
        <v>32614.710613333329</v>
      </c>
      <c r="BF64" s="208"/>
      <c r="BG64" s="37">
        <f t="shared" si="50"/>
        <v>27</v>
      </c>
      <c r="BH64" s="8">
        <f t="shared" si="12"/>
        <v>368.86886399999997</v>
      </c>
      <c r="BI64" s="8"/>
      <c r="BJ64" s="37">
        <f t="shared" si="51"/>
        <v>27</v>
      </c>
      <c r="BK64" s="8">
        <f t="shared" si="13"/>
        <v>0</v>
      </c>
      <c r="BL64" s="8"/>
      <c r="BM64" s="4">
        <v>26</v>
      </c>
      <c r="BN64" s="14">
        <f t="shared" si="14"/>
        <v>28182.023333333334</v>
      </c>
      <c r="BO64" s="14">
        <f t="shared" si="15"/>
        <v>7101.8698800000002</v>
      </c>
      <c r="BP64" s="14">
        <f t="shared" si="42"/>
        <v>1136.2991808000002</v>
      </c>
      <c r="BQ64" s="14">
        <f t="shared" si="16"/>
        <v>2536.3821000000003</v>
      </c>
      <c r="BR64" s="38">
        <f t="shared" si="17"/>
        <v>38956.57449413334</v>
      </c>
      <c r="BT64" s="4">
        <v>26</v>
      </c>
      <c r="BU64" s="14">
        <f>SUM(BN$39:BN64)</f>
        <v>644084.04666666663</v>
      </c>
      <c r="BV64" s="14">
        <f>SUM(BO$39:BO64)</f>
        <v>162309.17975999997</v>
      </c>
      <c r="BW64" s="14">
        <f>SUM(BP$39:BP64)</f>
        <v>25969.468761600008</v>
      </c>
      <c r="BX64" s="14">
        <f>SUM(BQ$39:BQ64)</f>
        <v>57967.564200000023</v>
      </c>
      <c r="BY64" s="21">
        <f>SUM(BR$39:BR64)</f>
        <v>890330.25938826636</v>
      </c>
    </row>
    <row r="65" spans="1:77" ht="18" customHeight="1" x14ac:dyDescent="0.25">
      <c r="A65" s="268"/>
      <c r="B65" s="267">
        <f t="shared" si="52"/>
        <v>27</v>
      </c>
      <c r="C65" s="264">
        <f t="shared" si="43"/>
        <v>28</v>
      </c>
      <c r="D65" s="265">
        <f t="shared" si="19"/>
        <v>46232.523306666662</v>
      </c>
      <c r="E65" s="266">
        <f t="shared" si="20"/>
        <v>35332.266666666663</v>
      </c>
      <c r="F65" s="266">
        <f t="shared" si="59"/>
        <v>6359.808</v>
      </c>
      <c r="G65" s="266">
        <f t="shared" si="22"/>
        <v>1017.56928</v>
      </c>
      <c r="H65" s="266">
        <f t="shared" si="23"/>
        <v>2271.36</v>
      </c>
      <c r="I65" s="266">
        <f t="shared" si="24"/>
        <v>1251.5193600000002</v>
      </c>
      <c r="J65" s="435"/>
      <c r="K65" s="317">
        <f t="shared" si="25"/>
        <v>0</v>
      </c>
      <c r="L65" s="317">
        <f t="shared" si="63"/>
        <v>0</v>
      </c>
      <c r="M65" s="317">
        <f t="shared" si="27"/>
        <v>0</v>
      </c>
      <c r="N65" s="347">
        <f t="shared" si="28"/>
        <v>0</v>
      </c>
      <c r="O65" s="267">
        <f t="shared" si="53"/>
        <v>87</v>
      </c>
      <c r="P65" s="264">
        <f t="shared" si="29"/>
        <v>88</v>
      </c>
      <c r="Q65" s="265">
        <f t="shared" si="30"/>
        <v>56248.933666331635</v>
      </c>
      <c r="R65" s="266">
        <f t="shared" si="31"/>
        <v>42987.104788370765</v>
      </c>
      <c r="S65" s="266">
        <f t="shared" si="32"/>
        <v>7737.6788619067383</v>
      </c>
      <c r="T65" s="266">
        <f t="shared" si="33"/>
        <v>1238.0286179050781</v>
      </c>
      <c r="U65" s="266">
        <f t="shared" si="34"/>
        <v>2763.4567363952638</v>
      </c>
      <c r="V65" s="266">
        <f t="shared" si="35"/>
        <v>1522.6646617537904</v>
      </c>
      <c r="W65" s="435"/>
      <c r="X65" s="317">
        <f t="shared" si="2"/>
        <v>0</v>
      </c>
      <c r="Y65" s="317">
        <f t="shared" si="3"/>
        <v>0</v>
      </c>
      <c r="Z65" s="317">
        <f t="shared" si="4"/>
        <v>0</v>
      </c>
      <c r="AA65" s="347">
        <f t="shared" si="36"/>
        <v>0</v>
      </c>
      <c r="AB65" s="309"/>
      <c r="AC65" s="136"/>
      <c r="AD65" s="136"/>
      <c r="AE65" s="136"/>
      <c r="AF65" s="136"/>
      <c r="AG65" s="13">
        <f t="shared" si="37"/>
        <v>27</v>
      </c>
      <c r="AH65" s="14">
        <f t="shared" si="64"/>
        <v>5072764.2</v>
      </c>
      <c r="AI65" s="44">
        <f t="shared" si="44"/>
        <v>28</v>
      </c>
      <c r="AJ65" s="55">
        <f>AJ64</f>
        <v>4542720</v>
      </c>
      <c r="AK65" s="59">
        <v>3</v>
      </c>
      <c r="AL65" s="44">
        <f t="shared" si="46"/>
        <v>28</v>
      </c>
      <c r="AM65" s="45">
        <f t="shared" si="39"/>
        <v>46232.523306666662</v>
      </c>
      <c r="AN65" s="44">
        <f t="shared" si="54"/>
        <v>88</v>
      </c>
      <c r="AO65" s="45">
        <f t="shared" si="5"/>
        <v>56248.933666331635</v>
      </c>
      <c r="AP65"/>
      <c r="AQ65" s="46">
        <f t="shared" si="47"/>
        <v>28</v>
      </c>
      <c r="AR65" s="47">
        <f t="shared" si="40"/>
        <v>32614.710613333329</v>
      </c>
      <c r="AS65" s="46">
        <f t="shared" si="55"/>
        <v>88</v>
      </c>
      <c r="AT65" s="47">
        <f t="shared" si="6"/>
        <v>39680.782328648078</v>
      </c>
      <c r="AV65" s="41">
        <f t="shared" si="7"/>
        <v>0</v>
      </c>
      <c r="AW65" s="41">
        <f t="shared" si="8"/>
        <v>0</v>
      </c>
      <c r="AX65" s="43">
        <f t="shared" si="9"/>
        <v>0</v>
      </c>
      <c r="AY65" s="43">
        <f t="shared" si="10"/>
        <v>0</v>
      </c>
      <c r="AZ65" s="11"/>
      <c r="BA65" s="36">
        <f t="shared" si="48"/>
        <v>28</v>
      </c>
      <c r="BB65" s="35">
        <f t="shared" si="57"/>
        <v>46232.523306666662</v>
      </c>
      <c r="BC65" s="120"/>
      <c r="BD65" s="306">
        <f t="shared" si="49"/>
        <v>28</v>
      </c>
      <c r="BE65" s="303">
        <f t="shared" si="62"/>
        <v>32614.710613333329</v>
      </c>
      <c r="BF65" s="208"/>
      <c r="BG65" s="37">
        <f t="shared" si="50"/>
        <v>28</v>
      </c>
      <c r="BH65" s="8">
        <f t="shared" si="12"/>
        <v>368.86886399999997</v>
      </c>
      <c r="BI65" s="8"/>
      <c r="BJ65" s="37">
        <f t="shared" si="51"/>
        <v>28</v>
      </c>
      <c r="BK65" s="8">
        <f t="shared" si="13"/>
        <v>0</v>
      </c>
      <c r="BL65" s="8"/>
      <c r="BM65" s="4">
        <v>27</v>
      </c>
      <c r="BN65" s="14">
        <f t="shared" si="14"/>
        <v>28182.023333333334</v>
      </c>
      <c r="BO65" s="14">
        <f t="shared" si="15"/>
        <v>7101.8698800000002</v>
      </c>
      <c r="BP65" s="14">
        <f t="shared" si="42"/>
        <v>1136.2991808000002</v>
      </c>
      <c r="BQ65" s="14">
        <f t="shared" si="16"/>
        <v>2536.3821000000003</v>
      </c>
      <c r="BR65" s="38">
        <f t="shared" si="17"/>
        <v>38956.57449413334</v>
      </c>
      <c r="BT65" s="4">
        <v>27</v>
      </c>
      <c r="BU65" s="14">
        <f>SUM(BN$39:BN65)</f>
        <v>672266.07</v>
      </c>
      <c r="BV65" s="14">
        <f>SUM(BO$39:BO65)</f>
        <v>169411.04963999998</v>
      </c>
      <c r="BW65" s="14">
        <f>SUM(BP$39:BP65)</f>
        <v>27105.767942400009</v>
      </c>
      <c r="BX65" s="14">
        <f>SUM(BQ$39:BQ65)</f>
        <v>60503.946300000025</v>
      </c>
      <c r="BY65" s="21">
        <f>SUM(BR$39:BR65)</f>
        <v>929286.83388239972</v>
      </c>
    </row>
    <row r="66" spans="1:77" ht="18" customHeight="1" x14ac:dyDescent="0.25">
      <c r="A66" s="268"/>
      <c r="B66" s="267">
        <f t="shared" si="52"/>
        <v>28</v>
      </c>
      <c r="C66" s="264">
        <f t="shared" si="43"/>
        <v>29</v>
      </c>
      <c r="D66" s="265">
        <f t="shared" si="19"/>
        <v>46232.523306666662</v>
      </c>
      <c r="E66" s="266">
        <f t="shared" si="20"/>
        <v>35332.266666666663</v>
      </c>
      <c r="F66" s="266">
        <f t="shared" si="59"/>
        <v>6359.808</v>
      </c>
      <c r="G66" s="266">
        <f t="shared" si="22"/>
        <v>1017.56928</v>
      </c>
      <c r="H66" s="266">
        <f t="shared" si="23"/>
        <v>2271.36</v>
      </c>
      <c r="I66" s="266">
        <f t="shared" si="24"/>
        <v>1251.5193600000002</v>
      </c>
      <c r="J66" s="435"/>
      <c r="K66" s="317">
        <f t="shared" si="25"/>
        <v>0</v>
      </c>
      <c r="L66" s="317">
        <f t="shared" si="63"/>
        <v>0</v>
      </c>
      <c r="M66" s="317">
        <f t="shared" si="27"/>
        <v>0</v>
      </c>
      <c r="N66" s="347">
        <f t="shared" si="28"/>
        <v>0</v>
      </c>
      <c r="O66" s="267">
        <f t="shared" si="53"/>
        <v>88</v>
      </c>
      <c r="P66" s="264">
        <f t="shared" si="29"/>
        <v>89</v>
      </c>
      <c r="Q66" s="265">
        <f t="shared" si="30"/>
        <v>56248.933666331635</v>
      </c>
      <c r="R66" s="266">
        <f t="shared" si="31"/>
        <v>42987.104788370765</v>
      </c>
      <c r="S66" s="266">
        <f t="shared" si="32"/>
        <v>7737.6788619067383</v>
      </c>
      <c r="T66" s="266">
        <f t="shared" si="33"/>
        <v>1238.0286179050781</v>
      </c>
      <c r="U66" s="266">
        <f t="shared" si="34"/>
        <v>2763.4567363952638</v>
      </c>
      <c r="V66" s="266">
        <f t="shared" si="35"/>
        <v>1522.6646617537904</v>
      </c>
      <c r="W66" s="435"/>
      <c r="X66" s="317">
        <f t="shared" si="2"/>
        <v>0</v>
      </c>
      <c r="Y66" s="317">
        <f t="shared" si="3"/>
        <v>0</v>
      </c>
      <c r="Z66" s="317">
        <f t="shared" si="4"/>
        <v>0</v>
      </c>
      <c r="AA66" s="347">
        <f t="shared" si="36"/>
        <v>0</v>
      </c>
      <c r="AB66" s="309"/>
      <c r="AC66" s="132"/>
      <c r="AD66" s="136"/>
      <c r="AE66" s="136"/>
      <c r="AF66" s="132"/>
      <c r="AG66" s="13">
        <f t="shared" si="37"/>
        <v>28</v>
      </c>
      <c r="AH66" s="14">
        <f t="shared" si="64"/>
        <v>5072764.2</v>
      </c>
      <c r="AI66" s="44">
        <f t="shared" si="44"/>
        <v>29</v>
      </c>
      <c r="AJ66" s="55">
        <f t="shared" ref="AJ66:AJ74" si="65">AJ65</f>
        <v>4542720</v>
      </c>
      <c r="AK66" s="59">
        <v>4</v>
      </c>
      <c r="AL66" s="44">
        <f t="shared" si="46"/>
        <v>29</v>
      </c>
      <c r="AM66" s="45">
        <f t="shared" si="39"/>
        <v>46232.523306666662</v>
      </c>
      <c r="AN66" s="44">
        <f t="shared" si="54"/>
        <v>89</v>
      </c>
      <c r="AO66" s="45">
        <f t="shared" si="5"/>
        <v>56248.933666331635</v>
      </c>
      <c r="AP66"/>
      <c r="AQ66" s="46">
        <f t="shared" si="47"/>
        <v>29</v>
      </c>
      <c r="AR66" s="47">
        <f t="shared" si="40"/>
        <v>32614.710613333329</v>
      </c>
      <c r="AS66" s="46">
        <f t="shared" si="55"/>
        <v>89</v>
      </c>
      <c r="AT66" s="47">
        <f t="shared" si="6"/>
        <v>39680.782328648078</v>
      </c>
      <c r="AV66" s="41">
        <f t="shared" si="7"/>
        <v>0</v>
      </c>
      <c r="AW66" s="41">
        <f t="shared" si="8"/>
        <v>0</v>
      </c>
      <c r="AX66" s="43">
        <f t="shared" si="9"/>
        <v>0</v>
      </c>
      <c r="AY66" s="43">
        <f t="shared" si="10"/>
        <v>0</v>
      </c>
      <c r="AZ66" s="11"/>
      <c r="BA66" s="36">
        <f t="shared" si="48"/>
        <v>29</v>
      </c>
      <c r="BB66" s="35">
        <f t="shared" si="57"/>
        <v>46232.523306666662</v>
      </c>
      <c r="BC66" s="120"/>
      <c r="BD66" s="306">
        <f t="shared" si="49"/>
        <v>29</v>
      </c>
      <c r="BE66" s="303">
        <f t="shared" si="62"/>
        <v>32614.710613333329</v>
      </c>
      <c r="BF66" s="208"/>
      <c r="BG66" s="37">
        <f t="shared" si="50"/>
        <v>29</v>
      </c>
      <c r="BH66" s="8">
        <f t="shared" si="12"/>
        <v>368.86886399999997</v>
      </c>
      <c r="BI66" s="8"/>
      <c r="BJ66" s="37">
        <f t="shared" si="51"/>
        <v>29</v>
      </c>
      <c r="BK66" s="8">
        <f t="shared" si="13"/>
        <v>0</v>
      </c>
      <c r="BL66" s="8"/>
      <c r="BM66" s="4">
        <v>28</v>
      </c>
      <c r="BN66" s="14">
        <f t="shared" si="14"/>
        <v>28182.023333333334</v>
      </c>
      <c r="BO66" s="14">
        <f t="shared" si="15"/>
        <v>7101.8698800000002</v>
      </c>
      <c r="BP66" s="14">
        <f t="shared" si="42"/>
        <v>1136.2991808000002</v>
      </c>
      <c r="BQ66" s="14">
        <f t="shared" si="16"/>
        <v>2536.3821000000003</v>
      </c>
      <c r="BR66" s="38">
        <f t="shared" si="17"/>
        <v>38956.57449413334</v>
      </c>
      <c r="BT66" s="4">
        <v>28</v>
      </c>
      <c r="BU66" s="14">
        <f>SUM(BN$39:BN66)</f>
        <v>700448.09333333327</v>
      </c>
      <c r="BV66" s="14">
        <f>SUM(BO$39:BO66)</f>
        <v>176512.91952</v>
      </c>
      <c r="BW66" s="14">
        <f>SUM(BP$39:BP66)</f>
        <v>28242.06712320001</v>
      </c>
      <c r="BX66" s="14">
        <f>SUM(BQ$39:BQ66)</f>
        <v>63040.328400000028</v>
      </c>
      <c r="BY66" s="21">
        <f>SUM(BR$39:BR66)</f>
        <v>968243.40837653307</v>
      </c>
    </row>
    <row r="67" spans="1:77" ht="18" customHeight="1" x14ac:dyDescent="0.25">
      <c r="A67" s="268"/>
      <c r="B67" s="267">
        <f t="shared" si="52"/>
        <v>29</v>
      </c>
      <c r="C67" s="264">
        <f t="shared" si="43"/>
        <v>30</v>
      </c>
      <c r="D67" s="265">
        <f t="shared" si="19"/>
        <v>46232.523306666662</v>
      </c>
      <c r="E67" s="266">
        <f t="shared" si="20"/>
        <v>35332.266666666663</v>
      </c>
      <c r="F67" s="266">
        <f t="shared" si="59"/>
        <v>6359.808</v>
      </c>
      <c r="G67" s="266">
        <f t="shared" si="22"/>
        <v>1017.56928</v>
      </c>
      <c r="H67" s="266">
        <f t="shared" si="23"/>
        <v>2271.36</v>
      </c>
      <c r="I67" s="266">
        <f t="shared" si="24"/>
        <v>1251.5193600000002</v>
      </c>
      <c r="J67" s="435"/>
      <c r="K67" s="317">
        <f t="shared" si="25"/>
        <v>0</v>
      </c>
      <c r="L67" s="317">
        <f t="shared" si="63"/>
        <v>0</v>
      </c>
      <c r="M67" s="317">
        <f t="shared" si="27"/>
        <v>0</v>
      </c>
      <c r="N67" s="347">
        <f t="shared" si="28"/>
        <v>0</v>
      </c>
      <c r="O67" s="267">
        <f t="shared" si="53"/>
        <v>89</v>
      </c>
      <c r="P67" s="264">
        <f t="shared" si="29"/>
        <v>90</v>
      </c>
      <c r="Q67" s="265">
        <f t="shared" si="30"/>
        <v>56248.933666331635</v>
      </c>
      <c r="R67" s="266">
        <f t="shared" si="31"/>
        <v>42987.104788370765</v>
      </c>
      <c r="S67" s="266">
        <f t="shared" si="32"/>
        <v>7737.6788619067383</v>
      </c>
      <c r="T67" s="266">
        <f t="shared" si="33"/>
        <v>1238.0286179050781</v>
      </c>
      <c r="U67" s="266">
        <f t="shared" si="34"/>
        <v>2763.4567363952638</v>
      </c>
      <c r="V67" s="266">
        <f t="shared" si="35"/>
        <v>1522.6646617537904</v>
      </c>
      <c r="W67" s="435"/>
      <c r="X67" s="317">
        <f t="shared" si="2"/>
        <v>0</v>
      </c>
      <c r="Y67" s="317">
        <f t="shared" si="3"/>
        <v>0</v>
      </c>
      <c r="Z67" s="317">
        <f t="shared" si="4"/>
        <v>0</v>
      </c>
      <c r="AA67" s="347">
        <f t="shared" si="36"/>
        <v>0</v>
      </c>
      <c r="AB67" s="309"/>
      <c r="AC67" s="132"/>
      <c r="AD67" s="136"/>
      <c r="AE67" s="136"/>
      <c r="AF67" s="132"/>
      <c r="AG67" s="13">
        <f t="shared" si="37"/>
        <v>29</v>
      </c>
      <c r="AH67" s="14">
        <f t="shared" si="64"/>
        <v>5072764.2</v>
      </c>
      <c r="AI67" s="44">
        <f t="shared" si="44"/>
        <v>30</v>
      </c>
      <c r="AJ67" s="55">
        <f t="shared" si="65"/>
        <v>4542720</v>
      </c>
      <c r="AK67" s="59">
        <v>5</v>
      </c>
      <c r="AL67" s="44">
        <f t="shared" si="46"/>
        <v>30</v>
      </c>
      <c r="AM67" s="45">
        <f t="shared" si="39"/>
        <v>46232.523306666662</v>
      </c>
      <c r="AN67" s="44">
        <f t="shared" si="54"/>
        <v>90</v>
      </c>
      <c r="AO67" s="45">
        <f t="shared" si="5"/>
        <v>56248.933666331635</v>
      </c>
      <c r="AP67"/>
      <c r="AQ67" s="46">
        <f t="shared" si="47"/>
        <v>30</v>
      </c>
      <c r="AR67" s="47">
        <f t="shared" si="40"/>
        <v>32614.710613333329</v>
      </c>
      <c r="AS67" s="46">
        <f t="shared" si="55"/>
        <v>90</v>
      </c>
      <c r="AT67" s="47">
        <f t="shared" si="6"/>
        <v>39680.782328648078</v>
      </c>
      <c r="AV67" s="41">
        <f t="shared" si="7"/>
        <v>0</v>
      </c>
      <c r="AW67" s="41">
        <f t="shared" si="8"/>
        <v>0</v>
      </c>
      <c r="AX67" s="43">
        <f t="shared" si="9"/>
        <v>0</v>
      </c>
      <c r="AY67" s="43">
        <f t="shared" si="10"/>
        <v>0</v>
      </c>
      <c r="AZ67" s="11"/>
      <c r="BA67" s="36">
        <f t="shared" si="48"/>
        <v>30</v>
      </c>
      <c r="BB67" s="35">
        <f t="shared" si="57"/>
        <v>46232.523306666662</v>
      </c>
      <c r="BC67" s="120"/>
      <c r="BD67" s="306">
        <f t="shared" si="49"/>
        <v>30</v>
      </c>
      <c r="BE67" s="303">
        <f t="shared" si="62"/>
        <v>32614.710613333329</v>
      </c>
      <c r="BF67" s="208"/>
      <c r="BG67" s="37">
        <f t="shared" si="50"/>
        <v>30</v>
      </c>
      <c r="BH67" s="8">
        <f t="shared" si="12"/>
        <v>368.86886399999997</v>
      </c>
      <c r="BI67" s="8"/>
      <c r="BJ67" s="37">
        <f t="shared" si="51"/>
        <v>30</v>
      </c>
      <c r="BK67" s="8">
        <f t="shared" si="13"/>
        <v>0</v>
      </c>
      <c r="BL67" s="8"/>
      <c r="BM67" s="4">
        <v>29</v>
      </c>
      <c r="BN67" s="14">
        <f t="shared" si="14"/>
        <v>28182.023333333334</v>
      </c>
      <c r="BO67" s="14">
        <f t="shared" si="15"/>
        <v>7101.8698800000002</v>
      </c>
      <c r="BP67" s="14">
        <f t="shared" si="42"/>
        <v>1136.2991808000002</v>
      </c>
      <c r="BQ67" s="14">
        <f t="shared" si="16"/>
        <v>2536.3821000000003</v>
      </c>
      <c r="BR67" s="38">
        <f t="shared" si="17"/>
        <v>38956.57449413334</v>
      </c>
      <c r="BT67" s="4">
        <v>29</v>
      </c>
      <c r="BU67" s="14">
        <f>SUM(BN$39:BN67)</f>
        <v>728630.11666666658</v>
      </c>
      <c r="BV67" s="14">
        <f>SUM(BO$39:BO67)</f>
        <v>183614.78940000001</v>
      </c>
      <c r="BW67" s="14">
        <f>SUM(BP$39:BP67)</f>
        <v>29378.36630400001</v>
      </c>
      <c r="BX67" s="14">
        <f>SUM(BQ$39:BQ67)</f>
        <v>65576.71050000003</v>
      </c>
      <c r="BY67" s="21">
        <f>SUM(BR$39:BR67)</f>
        <v>1007199.9828706664</v>
      </c>
    </row>
    <row r="68" spans="1:77" ht="18" customHeight="1" x14ac:dyDescent="0.25">
      <c r="A68" s="268"/>
      <c r="B68" s="267">
        <f t="shared" si="52"/>
        <v>30</v>
      </c>
      <c r="C68" s="264">
        <f t="shared" si="43"/>
        <v>31</v>
      </c>
      <c r="D68" s="265">
        <f t="shared" si="19"/>
        <v>46232.523306666662</v>
      </c>
      <c r="E68" s="266">
        <f t="shared" si="20"/>
        <v>35332.266666666663</v>
      </c>
      <c r="F68" s="266">
        <f t="shared" si="59"/>
        <v>6359.808</v>
      </c>
      <c r="G68" s="266">
        <f t="shared" si="22"/>
        <v>1017.56928</v>
      </c>
      <c r="H68" s="266">
        <f t="shared" si="23"/>
        <v>2271.36</v>
      </c>
      <c r="I68" s="266">
        <f t="shared" si="24"/>
        <v>1251.5193600000002</v>
      </c>
      <c r="J68" s="435"/>
      <c r="K68" s="317">
        <f t="shared" si="25"/>
        <v>0</v>
      </c>
      <c r="L68" s="317">
        <f t="shared" si="63"/>
        <v>0</v>
      </c>
      <c r="M68" s="317">
        <f t="shared" si="27"/>
        <v>0</v>
      </c>
      <c r="N68" s="347">
        <f t="shared" si="28"/>
        <v>0</v>
      </c>
      <c r="O68" s="267">
        <f t="shared" si="53"/>
        <v>90</v>
      </c>
      <c r="P68" s="269">
        <f t="shared" si="29"/>
        <v>91</v>
      </c>
      <c r="Q68" s="265">
        <f t="shared" si="30"/>
        <v>56248.933666331635</v>
      </c>
      <c r="R68" s="266">
        <f t="shared" si="31"/>
        <v>42987.104788370765</v>
      </c>
      <c r="S68" s="266">
        <f t="shared" si="32"/>
        <v>7737.6788619067383</v>
      </c>
      <c r="T68" s="266">
        <f t="shared" si="33"/>
        <v>1238.0286179050781</v>
      </c>
      <c r="U68" s="266">
        <f t="shared" si="34"/>
        <v>2763.4567363952638</v>
      </c>
      <c r="V68" s="266">
        <f t="shared" si="35"/>
        <v>1522.6646617537904</v>
      </c>
      <c r="W68" s="435"/>
      <c r="X68" s="317">
        <f t="shared" si="2"/>
        <v>0</v>
      </c>
      <c r="Y68" s="317">
        <f t="shared" si="3"/>
        <v>0</v>
      </c>
      <c r="Z68" s="317">
        <f t="shared" si="4"/>
        <v>0</v>
      </c>
      <c r="AA68" s="347">
        <f t="shared" si="36"/>
        <v>0</v>
      </c>
      <c r="AB68" s="309"/>
      <c r="AC68" s="132"/>
      <c r="AD68" s="136"/>
      <c r="AE68" s="136"/>
      <c r="AF68" s="132"/>
      <c r="AG68" s="13">
        <f t="shared" si="37"/>
        <v>30</v>
      </c>
      <c r="AH68" s="14">
        <f t="shared" si="64"/>
        <v>5072764.2</v>
      </c>
      <c r="AI68" s="44">
        <f t="shared" si="44"/>
        <v>31</v>
      </c>
      <c r="AJ68" s="55">
        <f t="shared" si="65"/>
        <v>4542720</v>
      </c>
      <c r="AK68" s="59">
        <v>6</v>
      </c>
      <c r="AL68" s="44">
        <f t="shared" si="46"/>
        <v>31</v>
      </c>
      <c r="AM68" s="45">
        <f t="shared" si="39"/>
        <v>46232.523306666662</v>
      </c>
      <c r="AN68" s="44">
        <f t="shared" si="54"/>
        <v>91</v>
      </c>
      <c r="AO68" s="45">
        <f t="shared" si="5"/>
        <v>56248.933666331635</v>
      </c>
      <c r="AP68"/>
      <c r="AQ68" s="46">
        <f t="shared" si="47"/>
        <v>31</v>
      </c>
      <c r="AR68" s="47">
        <f t="shared" si="40"/>
        <v>32614.710613333329</v>
      </c>
      <c r="AS68" s="46">
        <f t="shared" si="55"/>
        <v>91</v>
      </c>
      <c r="AT68" s="47">
        <f t="shared" si="6"/>
        <v>39680.782328648078</v>
      </c>
      <c r="AV68" s="41">
        <f t="shared" si="7"/>
        <v>0</v>
      </c>
      <c r="AW68" s="41">
        <f t="shared" si="8"/>
        <v>0</v>
      </c>
      <c r="AX68" s="43">
        <f t="shared" si="9"/>
        <v>0</v>
      </c>
      <c r="AY68" s="43">
        <f t="shared" si="10"/>
        <v>0</v>
      </c>
      <c r="AZ68" s="11"/>
      <c r="BA68" s="36">
        <f t="shared" si="48"/>
        <v>31</v>
      </c>
      <c r="BB68" s="35">
        <f t="shared" si="57"/>
        <v>46232.523306666662</v>
      </c>
      <c r="BC68" s="120"/>
      <c r="BD68" s="306">
        <f t="shared" si="49"/>
        <v>31</v>
      </c>
      <c r="BE68" s="303">
        <f t="shared" si="62"/>
        <v>32614.710613333329</v>
      </c>
      <c r="BF68" s="208"/>
      <c r="BG68" s="37">
        <f t="shared" si="50"/>
        <v>31</v>
      </c>
      <c r="BH68" s="8">
        <f t="shared" si="12"/>
        <v>368.86886399999997</v>
      </c>
      <c r="BI68" s="8"/>
      <c r="BJ68" s="37">
        <f t="shared" si="51"/>
        <v>31</v>
      </c>
      <c r="BK68" s="8">
        <f t="shared" si="13"/>
        <v>0</v>
      </c>
      <c r="BL68" s="8"/>
      <c r="BM68" s="4">
        <v>30</v>
      </c>
      <c r="BN68" s="14">
        <f t="shared" si="14"/>
        <v>28182.023333333334</v>
      </c>
      <c r="BO68" s="14">
        <f t="shared" si="15"/>
        <v>7101.8698800000002</v>
      </c>
      <c r="BP68" s="14">
        <f t="shared" si="42"/>
        <v>1136.2991808000002</v>
      </c>
      <c r="BQ68" s="14">
        <f t="shared" si="16"/>
        <v>2536.3821000000003</v>
      </c>
      <c r="BR68" s="38">
        <f t="shared" si="17"/>
        <v>38956.57449413334</v>
      </c>
      <c r="BT68" s="4">
        <v>30</v>
      </c>
      <c r="BU68" s="14">
        <f>SUM(BN$39:BN68)</f>
        <v>756812.1399999999</v>
      </c>
      <c r="BV68" s="14">
        <f>SUM(BO$39:BO68)</f>
        <v>190716.65928000002</v>
      </c>
      <c r="BW68" s="14">
        <f>SUM(BP$39:BP68)</f>
        <v>30514.665484800011</v>
      </c>
      <c r="BX68" s="14">
        <f>SUM(BQ$39:BQ68)</f>
        <v>68113.092600000033</v>
      </c>
      <c r="BY68" s="21">
        <f>SUM(BR$39:BR68)</f>
        <v>1046156.5573647998</v>
      </c>
    </row>
    <row r="69" spans="1:77" ht="18" customHeight="1" x14ac:dyDescent="0.25">
      <c r="A69" s="268"/>
      <c r="B69" s="267">
        <f t="shared" si="52"/>
        <v>31</v>
      </c>
      <c r="C69" s="264">
        <f t="shared" si="43"/>
        <v>32</v>
      </c>
      <c r="D69" s="265">
        <f t="shared" si="19"/>
        <v>46232.523306666662</v>
      </c>
      <c r="E69" s="266">
        <f t="shared" si="20"/>
        <v>35332.266666666663</v>
      </c>
      <c r="F69" s="266">
        <f t="shared" si="59"/>
        <v>6359.808</v>
      </c>
      <c r="G69" s="266">
        <f t="shared" si="22"/>
        <v>1017.56928</v>
      </c>
      <c r="H69" s="266">
        <f t="shared" si="23"/>
        <v>2271.36</v>
      </c>
      <c r="I69" s="266">
        <f t="shared" si="24"/>
        <v>1251.5193600000002</v>
      </c>
      <c r="J69" s="435"/>
      <c r="K69" s="317">
        <f t="shared" si="25"/>
        <v>0</v>
      </c>
      <c r="L69" s="317">
        <f t="shared" si="63"/>
        <v>0</v>
      </c>
      <c r="M69" s="317">
        <f t="shared" si="27"/>
        <v>0</v>
      </c>
      <c r="N69" s="347">
        <f t="shared" si="28"/>
        <v>0</v>
      </c>
      <c r="O69" s="267">
        <f t="shared" si="53"/>
        <v>91</v>
      </c>
      <c r="P69" s="264">
        <f t="shared" si="29"/>
        <v>92</v>
      </c>
      <c r="Q69" s="265">
        <f t="shared" si="30"/>
        <v>56248.933666331635</v>
      </c>
      <c r="R69" s="266">
        <f t="shared" si="31"/>
        <v>42987.104788370765</v>
      </c>
      <c r="S69" s="266">
        <f t="shared" si="32"/>
        <v>7737.6788619067383</v>
      </c>
      <c r="T69" s="266">
        <f t="shared" si="33"/>
        <v>1238.0286179050781</v>
      </c>
      <c r="U69" s="266">
        <f t="shared" si="34"/>
        <v>2763.4567363952638</v>
      </c>
      <c r="V69" s="266">
        <f t="shared" si="35"/>
        <v>1522.6646617537904</v>
      </c>
      <c r="W69" s="435"/>
      <c r="X69" s="317">
        <f t="shared" si="2"/>
        <v>0</v>
      </c>
      <c r="Y69" s="317">
        <f t="shared" si="3"/>
        <v>0</v>
      </c>
      <c r="Z69" s="317">
        <f t="shared" si="4"/>
        <v>0</v>
      </c>
      <c r="AA69" s="347">
        <f t="shared" si="36"/>
        <v>0</v>
      </c>
      <c r="AB69" s="309"/>
      <c r="AC69" s="132"/>
      <c r="AD69" s="136"/>
      <c r="AE69" s="136"/>
      <c r="AF69" s="132"/>
      <c r="AG69" s="13">
        <f t="shared" si="37"/>
        <v>31</v>
      </c>
      <c r="AH69" s="14">
        <f t="shared" si="64"/>
        <v>5072764.2</v>
      </c>
      <c r="AI69" s="44">
        <f t="shared" si="44"/>
        <v>32</v>
      </c>
      <c r="AJ69" s="55">
        <f t="shared" si="65"/>
        <v>4542720</v>
      </c>
      <c r="AK69" s="59">
        <v>7</v>
      </c>
      <c r="AL69" s="44">
        <f t="shared" si="46"/>
        <v>32</v>
      </c>
      <c r="AM69" s="45">
        <f t="shared" si="39"/>
        <v>46232.523306666662</v>
      </c>
      <c r="AN69" s="44">
        <f t="shared" si="54"/>
        <v>92</v>
      </c>
      <c r="AO69" s="45">
        <f t="shared" si="5"/>
        <v>56248.933666331635</v>
      </c>
      <c r="AP69"/>
      <c r="AQ69" s="46">
        <f t="shared" si="47"/>
        <v>32</v>
      </c>
      <c r="AR69" s="47">
        <f t="shared" si="40"/>
        <v>32614.710613333329</v>
      </c>
      <c r="AS69" s="46">
        <f t="shared" si="55"/>
        <v>92</v>
      </c>
      <c r="AT69" s="47">
        <f t="shared" si="6"/>
        <v>39680.782328648078</v>
      </c>
      <c r="AV69" s="41">
        <f t="shared" si="7"/>
        <v>0</v>
      </c>
      <c r="AW69" s="41">
        <f t="shared" si="8"/>
        <v>0</v>
      </c>
      <c r="AX69" s="43">
        <f t="shared" si="9"/>
        <v>0</v>
      </c>
      <c r="AY69" s="43">
        <f t="shared" si="10"/>
        <v>0</v>
      </c>
      <c r="AZ69" s="11"/>
      <c r="BA69" s="36">
        <f t="shared" si="48"/>
        <v>32</v>
      </c>
      <c r="BB69" s="35">
        <f t="shared" si="57"/>
        <v>46232.523306666662</v>
      </c>
      <c r="BC69" s="120"/>
      <c r="BD69" s="306">
        <f t="shared" si="49"/>
        <v>32</v>
      </c>
      <c r="BE69" s="303">
        <f t="shared" si="62"/>
        <v>32614.710613333329</v>
      </c>
      <c r="BF69" s="208"/>
      <c r="BG69" s="37">
        <f t="shared" si="50"/>
        <v>32</v>
      </c>
      <c r="BH69" s="8">
        <f t="shared" si="12"/>
        <v>368.86886399999997</v>
      </c>
      <c r="BI69" s="8"/>
      <c r="BJ69" s="37">
        <f t="shared" si="51"/>
        <v>32</v>
      </c>
      <c r="BK69" s="8">
        <f t="shared" si="13"/>
        <v>0</v>
      </c>
      <c r="BL69" s="8"/>
      <c r="BM69" s="4">
        <v>31</v>
      </c>
      <c r="BN69" s="14">
        <f t="shared" si="14"/>
        <v>28182.023333333334</v>
      </c>
      <c r="BO69" s="14">
        <f t="shared" si="15"/>
        <v>7101.8698800000002</v>
      </c>
      <c r="BP69" s="14">
        <f t="shared" si="42"/>
        <v>1136.2991808000002</v>
      </c>
      <c r="BQ69" s="14">
        <f t="shared" si="16"/>
        <v>2536.3821000000003</v>
      </c>
      <c r="BR69" s="38">
        <f t="shared" si="17"/>
        <v>38956.57449413334</v>
      </c>
      <c r="BT69" s="4">
        <v>31</v>
      </c>
      <c r="BU69" s="14">
        <f>SUM(BN$39:BN69)</f>
        <v>784994.16333333321</v>
      </c>
      <c r="BV69" s="14">
        <f>SUM(BO$39:BO69)</f>
        <v>197818.52916000003</v>
      </c>
      <c r="BW69" s="14">
        <f>SUM(BP$39:BP69)</f>
        <v>31650.964665600011</v>
      </c>
      <c r="BX69" s="14">
        <f>SUM(BQ$39:BQ69)</f>
        <v>70649.474700000035</v>
      </c>
      <c r="BY69" s="21">
        <f>SUM(BR$39:BR69)</f>
        <v>1085113.131858933</v>
      </c>
    </row>
    <row r="70" spans="1:77" ht="18" customHeight="1" x14ac:dyDescent="0.25">
      <c r="A70" s="268"/>
      <c r="B70" s="267">
        <f t="shared" si="52"/>
        <v>32</v>
      </c>
      <c r="C70" s="264">
        <f t="shared" si="43"/>
        <v>33</v>
      </c>
      <c r="D70" s="265">
        <f t="shared" si="19"/>
        <v>46232.523306666662</v>
      </c>
      <c r="E70" s="266">
        <f t="shared" si="20"/>
        <v>35332.266666666663</v>
      </c>
      <c r="F70" s="266">
        <f t="shared" si="59"/>
        <v>6359.808</v>
      </c>
      <c r="G70" s="266">
        <f t="shared" si="22"/>
        <v>1017.56928</v>
      </c>
      <c r="H70" s="266">
        <f t="shared" si="23"/>
        <v>2271.36</v>
      </c>
      <c r="I70" s="266">
        <f t="shared" si="24"/>
        <v>1251.5193600000002</v>
      </c>
      <c r="J70" s="435"/>
      <c r="K70" s="317">
        <f t="shared" si="25"/>
        <v>0</v>
      </c>
      <c r="L70" s="317">
        <f t="shared" si="63"/>
        <v>0</v>
      </c>
      <c r="M70" s="317">
        <f t="shared" si="27"/>
        <v>0</v>
      </c>
      <c r="N70" s="347">
        <f t="shared" si="28"/>
        <v>0</v>
      </c>
      <c r="O70" s="267">
        <f t="shared" si="53"/>
        <v>92</v>
      </c>
      <c r="P70" s="264">
        <f t="shared" si="29"/>
        <v>93</v>
      </c>
      <c r="Q70" s="265">
        <f t="shared" si="30"/>
        <v>56248.933666331635</v>
      </c>
      <c r="R70" s="266">
        <f t="shared" si="31"/>
        <v>42987.104788370765</v>
      </c>
      <c r="S70" s="266">
        <f t="shared" si="32"/>
        <v>7737.6788619067383</v>
      </c>
      <c r="T70" s="266">
        <f t="shared" si="33"/>
        <v>1238.0286179050781</v>
      </c>
      <c r="U70" s="266">
        <f t="shared" si="34"/>
        <v>2763.4567363952638</v>
      </c>
      <c r="V70" s="266">
        <f t="shared" si="35"/>
        <v>1522.6646617537904</v>
      </c>
      <c r="W70" s="435"/>
      <c r="X70" s="317">
        <f t="shared" si="2"/>
        <v>0</v>
      </c>
      <c r="Y70" s="317">
        <f t="shared" si="3"/>
        <v>0</v>
      </c>
      <c r="Z70" s="317">
        <f t="shared" si="4"/>
        <v>0</v>
      </c>
      <c r="AA70" s="347">
        <f t="shared" si="36"/>
        <v>0</v>
      </c>
      <c r="AB70" s="309"/>
      <c r="AC70" s="132"/>
      <c r="AD70" s="136"/>
      <c r="AE70" s="136"/>
      <c r="AF70" s="132"/>
      <c r="AG70" s="13">
        <f t="shared" si="37"/>
        <v>32</v>
      </c>
      <c r="AH70" s="14">
        <f t="shared" si="64"/>
        <v>5072764.2</v>
      </c>
      <c r="AI70" s="44">
        <f t="shared" si="44"/>
        <v>33</v>
      </c>
      <c r="AJ70" s="55">
        <f t="shared" si="65"/>
        <v>4542720</v>
      </c>
      <c r="AK70" s="59">
        <v>8</v>
      </c>
      <c r="AL70" s="44">
        <f t="shared" si="46"/>
        <v>33</v>
      </c>
      <c r="AM70" s="45">
        <f t="shared" si="39"/>
        <v>46232.523306666662</v>
      </c>
      <c r="AN70" s="44">
        <f t="shared" si="54"/>
        <v>93</v>
      </c>
      <c r="AO70" s="45">
        <f t="shared" si="5"/>
        <v>56248.933666331635</v>
      </c>
      <c r="AP70"/>
      <c r="AQ70" s="46">
        <f t="shared" si="47"/>
        <v>33</v>
      </c>
      <c r="AR70" s="47">
        <f t="shared" si="40"/>
        <v>32614.710613333329</v>
      </c>
      <c r="AS70" s="46">
        <f t="shared" si="55"/>
        <v>93</v>
      </c>
      <c r="AT70" s="47">
        <f t="shared" si="6"/>
        <v>39680.782328648078</v>
      </c>
      <c r="AV70" s="41">
        <f t="shared" si="7"/>
        <v>0</v>
      </c>
      <c r="AW70" s="41">
        <f t="shared" si="8"/>
        <v>0</v>
      </c>
      <c r="AX70" s="43">
        <f t="shared" si="9"/>
        <v>0</v>
      </c>
      <c r="AY70" s="43">
        <f t="shared" si="10"/>
        <v>0</v>
      </c>
      <c r="AZ70" s="11"/>
      <c r="BA70" s="36">
        <f t="shared" si="48"/>
        <v>33</v>
      </c>
      <c r="BB70" s="35">
        <f t="shared" si="57"/>
        <v>46232.523306666662</v>
      </c>
      <c r="BC70" s="120"/>
      <c r="BD70" s="306">
        <f t="shared" si="49"/>
        <v>33</v>
      </c>
      <c r="BE70" s="303">
        <f t="shared" si="62"/>
        <v>32614.710613333329</v>
      </c>
      <c r="BF70" s="208"/>
      <c r="BG70" s="37">
        <f t="shared" si="50"/>
        <v>33</v>
      </c>
      <c r="BH70" s="8">
        <f t="shared" si="12"/>
        <v>368.86886399999997</v>
      </c>
      <c r="BI70" s="8"/>
      <c r="BJ70" s="37">
        <f t="shared" si="51"/>
        <v>33</v>
      </c>
      <c r="BK70" s="8">
        <f t="shared" si="13"/>
        <v>0</v>
      </c>
      <c r="BL70" s="8"/>
      <c r="BM70" s="4">
        <v>32</v>
      </c>
      <c r="BN70" s="14">
        <f t="shared" si="14"/>
        <v>28182.023333333334</v>
      </c>
      <c r="BO70" s="14">
        <f t="shared" si="15"/>
        <v>7101.8698800000002</v>
      </c>
      <c r="BP70" s="14">
        <f t="shared" si="42"/>
        <v>1136.2991808000002</v>
      </c>
      <c r="BQ70" s="14">
        <f t="shared" si="16"/>
        <v>2536.3821000000003</v>
      </c>
      <c r="BR70" s="38">
        <f t="shared" si="17"/>
        <v>38956.57449413334</v>
      </c>
      <c r="BT70" s="4">
        <v>32</v>
      </c>
      <c r="BU70" s="14">
        <f>SUM(BN$39:BN70)</f>
        <v>813176.18666666653</v>
      </c>
      <c r="BV70" s="14">
        <f>SUM(BO$39:BO70)</f>
        <v>204920.39904000005</v>
      </c>
      <c r="BW70" s="14">
        <f>SUM(BP$39:BP70)</f>
        <v>32787.263846400012</v>
      </c>
      <c r="BX70" s="14">
        <f>SUM(BQ$39:BQ70)</f>
        <v>73185.856800000038</v>
      </c>
      <c r="BY70" s="21">
        <f>SUM(BR$39:BR70)</f>
        <v>1124069.7063530663</v>
      </c>
    </row>
    <row r="71" spans="1:77" ht="18" customHeight="1" x14ac:dyDescent="0.25">
      <c r="A71" s="268"/>
      <c r="B71" s="267">
        <f t="shared" si="52"/>
        <v>33</v>
      </c>
      <c r="C71" s="264">
        <f t="shared" si="43"/>
        <v>34</v>
      </c>
      <c r="D71" s="265">
        <f t="shared" si="19"/>
        <v>46232.523306666662</v>
      </c>
      <c r="E71" s="266">
        <f t="shared" si="20"/>
        <v>35332.266666666663</v>
      </c>
      <c r="F71" s="266">
        <f t="shared" si="59"/>
        <v>6359.808</v>
      </c>
      <c r="G71" s="266">
        <f t="shared" si="22"/>
        <v>1017.56928</v>
      </c>
      <c r="H71" s="266">
        <f t="shared" si="23"/>
        <v>2271.36</v>
      </c>
      <c r="I71" s="266">
        <f t="shared" si="24"/>
        <v>1251.5193600000002</v>
      </c>
      <c r="J71" s="435"/>
      <c r="K71" s="317">
        <f t="shared" si="25"/>
        <v>0</v>
      </c>
      <c r="L71" s="317">
        <f t="shared" si="63"/>
        <v>0</v>
      </c>
      <c r="M71" s="317">
        <f t="shared" si="27"/>
        <v>0</v>
      </c>
      <c r="N71" s="347">
        <f t="shared" si="28"/>
        <v>0</v>
      </c>
      <c r="O71" s="267">
        <f t="shared" si="53"/>
        <v>93</v>
      </c>
      <c r="P71" s="264">
        <f t="shared" si="29"/>
        <v>94</v>
      </c>
      <c r="Q71" s="265">
        <f t="shared" si="30"/>
        <v>56248.933666331635</v>
      </c>
      <c r="R71" s="266">
        <f t="shared" si="31"/>
        <v>42987.104788370765</v>
      </c>
      <c r="S71" s="266">
        <f t="shared" si="32"/>
        <v>7737.6788619067383</v>
      </c>
      <c r="T71" s="266">
        <f t="shared" si="33"/>
        <v>1238.0286179050781</v>
      </c>
      <c r="U71" s="266">
        <f t="shared" si="34"/>
        <v>2763.4567363952638</v>
      </c>
      <c r="V71" s="266">
        <f t="shared" si="35"/>
        <v>1522.6646617537904</v>
      </c>
      <c r="W71" s="435"/>
      <c r="X71" s="317">
        <f t="shared" si="2"/>
        <v>0</v>
      </c>
      <c r="Y71" s="317">
        <f t="shared" si="3"/>
        <v>0</v>
      </c>
      <c r="Z71" s="317">
        <f t="shared" si="4"/>
        <v>0</v>
      </c>
      <c r="AA71" s="347">
        <f t="shared" si="36"/>
        <v>0</v>
      </c>
      <c r="AB71" s="309"/>
      <c r="AC71" s="132"/>
      <c r="AD71" s="136"/>
      <c r="AE71" s="136"/>
      <c r="AF71" s="132"/>
      <c r="AG71" s="13">
        <f t="shared" si="37"/>
        <v>33</v>
      </c>
      <c r="AH71" s="14">
        <f t="shared" si="64"/>
        <v>5072764.2</v>
      </c>
      <c r="AI71" s="44">
        <f t="shared" si="44"/>
        <v>34</v>
      </c>
      <c r="AJ71" s="55">
        <f t="shared" si="65"/>
        <v>4542720</v>
      </c>
      <c r="AK71" s="59">
        <v>9</v>
      </c>
      <c r="AL71" s="44">
        <f t="shared" si="46"/>
        <v>34</v>
      </c>
      <c r="AM71" s="45">
        <f t="shared" si="39"/>
        <v>46232.523306666662</v>
      </c>
      <c r="AN71" s="44">
        <f t="shared" si="54"/>
        <v>94</v>
      </c>
      <c r="AO71" s="45">
        <f t="shared" si="5"/>
        <v>56248.933666331635</v>
      </c>
      <c r="AP71"/>
      <c r="AQ71" s="46">
        <f t="shared" si="47"/>
        <v>34</v>
      </c>
      <c r="AR71" s="47">
        <f t="shared" si="40"/>
        <v>32614.710613333329</v>
      </c>
      <c r="AS71" s="46">
        <f t="shared" si="55"/>
        <v>94</v>
      </c>
      <c r="AT71" s="47">
        <f t="shared" si="6"/>
        <v>39680.782328648078</v>
      </c>
      <c r="AV71" s="41">
        <f t="shared" si="7"/>
        <v>0</v>
      </c>
      <c r="AW71" s="41">
        <f t="shared" si="8"/>
        <v>0</v>
      </c>
      <c r="AX71" s="43">
        <f t="shared" si="9"/>
        <v>0</v>
      </c>
      <c r="AY71" s="43">
        <f t="shared" si="10"/>
        <v>0</v>
      </c>
      <c r="AZ71" s="11"/>
      <c r="BA71" s="36">
        <f t="shared" si="48"/>
        <v>34</v>
      </c>
      <c r="BB71" s="35">
        <f t="shared" si="57"/>
        <v>46232.523306666662</v>
      </c>
      <c r="BC71" s="120"/>
      <c r="BD71" s="306">
        <f t="shared" si="49"/>
        <v>34</v>
      </c>
      <c r="BE71" s="303">
        <f t="shared" si="62"/>
        <v>32614.710613333329</v>
      </c>
      <c r="BF71" s="208"/>
      <c r="BG71" s="37">
        <f t="shared" si="50"/>
        <v>34</v>
      </c>
      <c r="BH71" s="8">
        <f t="shared" ref="BH71:BH98" si="66">VLOOKUP(BA71,$AI$39:$AJ$158,2,0)*($G$15*1.16)*5%*(IF(D71/BB71=1,1,D71/BB71))</f>
        <v>368.86886399999997</v>
      </c>
      <c r="BI71" s="8"/>
      <c r="BJ71" s="37">
        <f t="shared" si="51"/>
        <v>34</v>
      </c>
      <c r="BK71" s="8">
        <f t="shared" si="13"/>
        <v>0</v>
      </c>
      <c r="BL71" s="8"/>
      <c r="BM71" s="4">
        <v>33</v>
      </c>
      <c r="BN71" s="14">
        <f t="shared" si="14"/>
        <v>28182.023333333334</v>
      </c>
      <c r="BO71" s="14">
        <f t="shared" si="15"/>
        <v>7101.8698800000002</v>
      </c>
      <c r="BP71" s="14">
        <f t="shared" si="42"/>
        <v>1136.2991808000002</v>
      </c>
      <c r="BQ71" s="14">
        <f t="shared" si="16"/>
        <v>2536.3821000000003</v>
      </c>
      <c r="BR71" s="38">
        <f t="shared" ref="BR71:BR98" si="67">SUM(BN71:BQ71)</f>
        <v>38956.57449413334</v>
      </c>
      <c r="BT71" s="4">
        <v>33</v>
      </c>
      <c r="BU71" s="14">
        <f>SUM(BN$39:BN71)</f>
        <v>841358.20999999985</v>
      </c>
      <c r="BV71" s="14">
        <f>SUM(BO$39:BO71)</f>
        <v>212022.26892000006</v>
      </c>
      <c r="BW71" s="14">
        <f>SUM(BP$39:BP71)</f>
        <v>33923.563027200013</v>
      </c>
      <c r="BX71" s="14">
        <f>SUM(BQ$39:BQ71)</f>
        <v>75722.23890000004</v>
      </c>
      <c r="BY71" s="21">
        <f>SUM(BR$39:BR71)</f>
        <v>1163026.2808471995</v>
      </c>
    </row>
    <row r="72" spans="1:77" ht="18" customHeight="1" x14ac:dyDescent="0.25">
      <c r="A72" s="268"/>
      <c r="B72" s="267">
        <f t="shared" si="52"/>
        <v>34</v>
      </c>
      <c r="C72" s="264">
        <f t="shared" si="43"/>
        <v>35</v>
      </c>
      <c r="D72" s="265">
        <f t="shared" si="19"/>
        <v>46232.523306666662</v>
      </c>
      <c r="E72" s="266">
        <f t="shared" si="20"/>
        <v>35332.266666666663</v>
      </c>
      <c r="F72" s="266">
        <f t="shared" si="59"/>
        <v>6359.808</v>
      </c>
      <c r="G72" s="266">
        <f t="shared" si="22"/>
        <v>1017.56928</v>
      </c>
      <c r="H72" s="266">
        <f t="shared" si="23"/>
        <v>2271.36</v>
      </c>
      <c r="I72" s="266">
        <f t="shared" si="24"/>
        <v>1251.5193600000002</v>
      </c>
      <c r="J72" s="435"/>
      <c r="K72" s="317">
        <f t="shared" si="25"/>
        <v>0</v>
      </c>
      <c r="L72" s="317">
        <f t="shared" si="63"/>
        <v>0</v>
      </c>
      <c r="M72" s="317">
        <f t="shared" si="27"/>
        <v>0</v>
      </c>
      <c r="N72" s="347">
        <f t="shared" si="28"/>
        <v>0</v>
      </c>
      <c r="O72" s="267">
        <f t="shared" si="53"/>
        <v>94</v>
      </c>
      <c r="P72" s="264">
        <f t="shared" si="29"/>
        <v>95</v>
      </c>
      <c r="Q72" s="265">
        <f t="shared" si="30"/>
        <v>56248.933666331635</v>
      </c>
      <c r="R72" s="266">
        <f t="shared" si="31"/>
        <v>42987.104788370765</v>
      </c>
      <c r="S72" s="266">
        <f t="shared" si="32"/>
        <v>7737.6788619067383</v>
      </c>
      <c r="T72" s="266">
        <f t="shared" si="33"/>
        <v>1238.0286179050781</v>
      </c>
      <c r="U72" s="266">
        <f t="shared" si="34"/>
        <v>2763.4567363952638</v>
      </c>
      <c r="V72" s="266">
        <f t="shared" si="35"/>
        <v>1522.6646617537904</v>
      </c>
      <c r="W72" s="435"/>
      <c r="X72" s="317">
        <f t="shared" si="2"/>
        <v>0</v>
      </c>
      <c r="Y72" s="317">
        <f t="shared" si="3"/>
        <v>0</v>
      </c>
      <c r="Z72" s="317">
        <f t="shared" si="4"/>
        <v>0</v>
      </c>
      <c r="AA72" s="347">
        <f t="shared" si="36"/>
        <v>0</v>
      </c>
      <c r="AB72" s="309"/>
      <c r="AC72" s="132"/>
      <c r="AD72" s="136"/>
      <c r="AE72" s="136"/>
      <c r="AF72" s="132"/>
      <c r="AG72" s="13">
        <f t="shared" si="37"/>
        <v>34</v>
      </c>
      <c r="AH72" s="14">
        <f t="shared" si="64"/>
        <v>5072764.2</v>
      </c>
      <c r="AI72" s="44">
        <f t="shared" si="44"/>
        <v>35</v>
      </c>
      <c r="AJ72" s="55">
        <f t="shared" si="65"/>
        <v>4542720</v>
      </c>
      <c r="AK72" s="59">
        <v>10</v>
      </c>
      <c r="AL72" s="44">
        <f t="shared" si="46"/>
        <v>35</v>
      </c>
      <c r="AM72" s="45">
        <f t="shared" si="39"/>
        <v>46232.523306666662</v>
      </c>
      <c r="AN72" s="44">
        <f t="shared" si="54"/>
        <v>95</v>
      </c>
      <c r="AO72" s="45">
        <f t="shared" si="5"/>
        <v>56248.933666331635</v>
      </c>
      <c r="AP72"/>
      <c r="AQ72" s="46">
        <f t="shared" si="47"/>
        <v>35</v>
      </c>
      <c r="AR72" s="47">
        <f t="shared" si="40"/>
        <v>32614.710613333329</v>
      </c>
      <c r="AS72" s="46">
        <f t="shared" si="55"/>
        <v>95</v>
      </c>
      <c r="AT72" s="47">
        <f t="shared" si="6"/>
        <v>39680.782328648078</v>
      </c>
      <c r="AV72" s="41">
        <f t="shared" si="7"/>
        <v>0</v>
      </c>
      <c r="AW72" s="41">
        <f t="shared" si="8"/>
        <v>0</v>
      </c>
      <c r="AX72" s="43">
        <f t="shared" si="9"/>
        <v>0</v>
      </c>
      <c r="AY72" s="43">
        <f t="shared" si="10"/>
        <v>0</v>
      </c>
      <c r="AZ72" s="11"/>
      <c r="BA72" s="36">
        <f>+BA71+1</f>
        <v>35</v>
      </c>
      <c r="BB72" s="35">
        <f t="shared" si="57"/>
        <v>46232.523306666662</v>
      </c>
      <c r="BC72" s="120"/>
      <c r="BD72" s="306">
        <f>+BD71+1</f>
        <v>35</v>
      </c>
      <c r="BE72" s="303">
        <f t="shared" si="62"/>
        <v>32614.710613333329</v>
      </c>
      <c r="BF72" s="208"/>
      <c r="BG72" s="37">
        <f t="shared" si="50"/>
        <v>35</v>
      </c>
      <c r="BH72" s="8">
        <f t="shared" si="66"/>
        <v>368.86886399999997</v>
      </c>
      <c r="BI72" s="8"/>
      <c r="BJ72" s="37">
        <f t="shared" si="51"/>
        <v>35</v>
      </c>
      <c r="BK72" s="8">
        <f t="shared" si="13"/>
        <v>0</v>
      </c>
      <c r="BL72" s="8"/>
      <c r="BM72" s="4">
        <v>34</v>
      </c>
      <c r="BN72" s="14">
        <f t="shared" si="14"/>
        <v>28182.023333333334</v>
      </c>
      <c r="BO72" s="14">
        <f t="shared" si="15"/>
        <v>7101.8698800000002</v>
      </c>
      <c r="BP72" s="14">
        <f t="shared" si="42"/>
        <v>1136.2991808000002</v>
      </c>
      <c r="BQ72" s="14">
        <f t="shared" si="16"/>
        <v>2536.3821000000003</v>
      </c>
      <c r="BR72" s="38">
        <f t="shared" si="67"/>
        <v>38956.57449413334</v>
      </c>
      <c r="BT72" s="4">
        <v>34</v>
      </c>
      <c r="BU72" s="14">
        <f>SUM(BN$39:BN72)</f>
        <v>869540.23333333316</v>
      </c>
      <c r="BV72" s="14">
        <f>SUM(BO$39:BO72)</f>
        <v>219124.13880000007</v>
      </c>
      <c r="BW72" s="14">
        <f>SUM(BP$39:BP72)</f>
        <v>35059.862208000013</v>
      </c>
      <c r="BX72" s="14">
        <f>SUM(BQ$39:BQ72)</f>
        <v>78258.621000000043</v>
      </c>
      <c r="BY72" s="21">
        <f>SUM(BR$39:BR72)</f>
        <v>1201982.8553413327</v>
      </c>
    </row>
    <row r="73" spans="1:77" ht="18" customHeight="1" x14ac:dyDescent="0.25">
      <c r="A73" s="268"/>
      <c r="B73" s="267">
        <f t="shared" si="52"/>
        <v>35</v>
      </c>
      <c r="C73" s="264">
        <f t="shared" si="43"/>
        <v>36</v>
      </c>
      <c r="D73" s="265">
        <f t="shared" si="19"/>
        <v>46232.523306666662</v>
      </c>
      <c r="E73" s="266">
        <f t="shared" si="20"/>
        <v>35332.266666666663</v>
      </c>
      <c r="F73" s="266">
        <f t="shared" si="59"/>
        <v>6359.808</v>
      </c>
      <c r="G73" s="266">
        <f t="shared" si="22"/>
        <v>1017.56928</v>
      </c>
      <c r="H73" s="266">
        <f t="shared" si="23"/>
        <v>2271.36</v>
      </c>
      <c r="I73" s="266">
        <f t="shared" si="24"/>
        <v>1251.5193600000002</v>
      </c>
      <c r="J73" s="435"/>
      <c r="K73" s="317">
        <f t="shared" si="25"/>
        <v>0</v>
      </c>
      <c r="L73" s="317">
        <f t="shared" si="63"/>
        <v>0</v>
      </c>
      <c r="M73" s="317">
        <f t="shared" si="27"/>
        <v>0</v>
      </c>
      <c r="N73" s="347">
        <f t="shared" si="28"/>
        <v>0</v>
      </c>
      <c r="O73" s="267">
        <f t="shared" si="53"/>
        <v>95</v>
      </c>
      <c r="P73" s="264">
        <f t="shared" si="29"/>
        <v>96</v>
      </c>
      <c r="Q73" s="265">
        <f t="shared" si="30"/>
        <v>56248.933666331635</v>
      </c>
      <c r="R73" s="266">
        <f t="shared" si="31"/>
        <v>42987.104788370765</v>
      </c>
      <c r="S73" s="266">
        <f t="shared" si="32"/>
        <v>7737.6788619067383</v>
      </c>
      <c r="T73" s="266">
        <f t="shared" si="33"/>
        <v>1238.0286179050781</v>
      </c>
      <c r="U73" s="266">
        <f t="shared" si="34"/>
        <v>2763.4567363952638</v>
      </c>
      <c r="V73" s="266">
        <f t="shared" si="35"/>
        <v>1522.6646617537904</v>
      </c>
      <c r="W73" s="435"/>
      <c r="X73" s="317">
        <f t="shared" si="2"/>
        <v>0</v>
      </c>
      <c r="Y73" s="317">
        <f t="shared" si="3"/>
        <v>0</v>
      </c>
      <c r="Z73" s="317">
        <f t="shared" si="4"/>
        <v>0</v>
      </c>
      <c r="AA73" s="347">
        <f t="shared" si="36"/>
        <v>0</v>
      </c>
      <c r="AB73" s="309"/>
      <c r="AC73" s="132"/>
      <c r="AD73" s="136"/>
      <c r="AE73" s="136"/>
      <c r="AF73" s="132"/>
      <c r="AG73" s="13">
        <f t="shared" si="37"/>
        <v>35</v>
      </c>
      <c r="AH73" s="14">
        <f t="shared" si="64"/>
        <v>5072764.2</v>
      </c>
      <c r="AI73" s="44">
        <f t="shared" si="44"/>
        <v>36</v>
      </c>
      <c r="AJ73" s="55">
        <f t="shared" si="65"/>
        <v>4542720</v>
      </c>
      <c r="AK73" s="59">
        <v>11</v>
      </c>
      <c r="AL73" s="44">
        <f t="shared" si="46"/>
        <v>36</v>
      </c>
      <c r="AM73" s="45">
        <f t="shared" si="39"/>
        <v>46232.523306666662</v>
      </c>
      <c r="AN73" s="44">
        <f t="shared" si="54"/>
        <v>96</v>
      </c>
      <c r="AO73" s="45">
        <f t="shared" si="5"/>
        <v>56248.933666331635</v>
      </c>
      <c r="AP73"/>
      <c r="AQ73" s="46">
        <f t="shared" si="47"/>
        <v>36</v>
      </c>
      <c r="AR73" s="47">
        <f t="shared" si="40"/>
        <v>32614.710613333329</v>
      </c>
      <c r="AS73" s="46">
        <f t="shared" si="55"/>
        <v>96</v>
      </c>
      <c r="AT73" s="47">
        <f t="shared" si="6"/>
        <v>39680.782328648078</v>
      </c>
      <c r="AV73" s="41">
        <f t="shared" si="7"/>
        <v>0</v>
      </c>
      <c r="AW73" s="41">
        <f t="shared" si="8"/>
        <v>0</v>
      </c>
      <c r="AX73" s="43">
        <f t="shared" si="9"/>
        <v>0</v>
      </c>
      <c r="AY73" s="43">
        <f t="shared" si="10"/>
        <v>0</v>
      </c>
      <c r="AZ73" s="11"/>
      <c r="BA73" s="36">
        <f t="shared" ref="BA73:BA128" si="68">+BA72+1</f>
        <v>36</v>
      </c>
      <c r="BB73" s="35">
        <f t="shared" si="57"/>
        <v>46232.523306666662</v>
      </c>
      <c r="BC73" s="120"/>
      <c r="BD73" s="306">
        <f t="shared" ref="BD73:BD128" si="69">+BD72+1</f>
        <v>36</v>
      </c>
      <c r="BE73" s="303">
        <f t="shared" si="62"/>
        <v>32614.710613333329</v>
      </c>
      <c r="BF73" s="208"/>
      <c r="BG73" s="37">
        <f t="shared" si="50"/>
        <v>36</v>
      </c>
      <c r="BH73" s="8">
        <f t="shared" si="66"/>
        <v>368.86886399999997</v>
      </c>
      <c r="BI73" s="8"/>
      <c r="BJ73" s="37">
        <f t="shared" si="51"/>
        <v>36</v>
      </c>
      <c r="BK73" s="8">
        <f t="shared" si="13"/>
        <v>0</v>
      </c>
      <c r="BL73" s="8"/>
      <c r="BM73" s="4">
        <v>35</v>
      </c>
      <c r="BN73" s="14">
        <f t="shared" si="14"/>
        <v>28182.023333333334</v>
      </c>
      <c r="BO73" s="14">
        <f t="shared" si="15"/>
        <v>7101.8698800000002</v>
      </c>
      <c r="BP73" s="14">
        <f t="shared" si="42"/>
        <v>1136.2991808000002</v>
      </c>
      <c r="BQ73" s="14">
        <f t="shared" si="16"/>
        <v>2536.3821000000003</v>
      </c>
      <c r="BR73" s="38">
        <f t="shared" si="67"/>
        <v>38956.57449413334</v>
      </c>
      <c r="BT73" s="4">
        <v>35</v>
      </c>
      <c r="BU73" s="14">
        <f>SUM(BN$39:BN73)</f>
        <v>897722.25666666648</v>
      </c>
      <c r="BV73" s="14">
        <f>SUM(BO$39:BO73)</f>
        <v>226226.00868000009</v>
      </c>
      <c r="BW73" s="14">
        <f>SUM(BP$39:BP73)</f>
        <v>36196.161388800014</v>
      </c>
      <c r="BX73" s="14">
        <f>SUM(BQ$39:BQ73)</f>
        <v>80795.003100000045</v>
      </c>
      <c r="BY73" s="21">
        <f>SUM(BR$39:BR73)</f>
        <v>1240939.429835466</v>
      </c>
    </row>
    <row r="74" spans="1:77" ht="18" customHeight="1" x14ac:dyDescent="0.25">
      <c r="A74" s="268"/>
      <c r="B74" s="267">
        <f t="shared" si="52"/>
        <v>36</v>
      </c>
      <c r="C74" s="264">
        <f t="shared" si="43"/>
        <v>37</v>
      </c>
      <c r="D74" s="265">
        <f t="shared" si="19"/>
        <v>46232.523306666662</v>
      </c>
      <c r="E74" s="266">
        <f t="shared" si="20"/>
        <v>35332.266666666663</v>
      </c>
      <c r="F74" s="266">
        <f t="shared" si="59"/>
        <v>6359.808</v>
      </c>
      <c r="G74" s="266">
        <f t="shared" si="22"/>
        <v>1017.56928</v>
      </c>
      <c r="H74" s="266">
        <f t="shared" si="23"/>
        <v>2271.36</v>
      </c>
      <c r="I74" s="266">
        <f t="shared" si="24"/>
        <v>1251.5193600000002</v>
      </c>
      <c r="J74" s="435"/>
      <c r="K74" s="317">
        <f t="shared" si="25"/>
        <v>0</v>
      </c>
      <c r="L74" s="317">
        <f t="shared" si="63"/>
        <v>0</v>
      </c>
      <c r="M74" s="317">
        <f t="shared" si="27"/>
        <v>0</v>
      </c>
      <c r="N74" s="347">
        <f t="shared" si="28"/>
        <v>0</v>
      </c>
      <c r="O74" s="267">
        <f t="shared" si="53"/>
        <v>96</v>
      </c>
      <c r="P74" s="264">
        <f t="shared" si="29"/>
        <v>97</v>
      </c>
      <c r="Q74" s="265">
        <f t="shared" si="30"/>
        <v>56248.933666331635</v>
      </c>
      <c r="R74" s="266">
        <f t="shared" si="31"/>
        <v>42987.104788370765</v>
      </c>
      <c r="S74" s="266">
        <f t="shared" si="32"/>
        <v>7737.6788619067383</v>
      </c>
      <c r="T74" s="266">
        <f t="shared" si="33"/>
        <v>1238.0286179050781</v>
      </c>
      <c r="U74" s="266">
        <f t="shared" si="34"/>
        <v>2763.4567363952638</v>
      </c>
      <c r="V74" s="266">
        <f t="shared" si="35"/>
        <v>1522.6646617537904</v>
      </c>
      <c r="W74" s="435"/>
      <c r="X74" s="317">
        <f t="shared" si="2"/>
        <v>0</v>
      </c>
      <c r="Y74" s="317">
        <f t="shared" si="3"/>
        <v>0</v>
      </c>
      <c r="Z74" s="317">
        <f t="shared" si="4"/>
        <v>0</v>
      </c>
      <c r="AA74" s="347">
        <f t="shared" si="36"/>
        <v>0</v>
      </c>
      <c r="AB74" s="309"/>
      <c r="AC74" s="132"/>
      <c r="AD74" s="136"/>
      <c r="AE74" s="136"/>
      <c r="AF74" s="132"/>
      <c r="AG74" s="13">
        <f t="shared" si="37"/>
        <v>36</v>
      </c>
      <c r="AH74" s="14">
        <f t="shared" si="64"/>
        <v>5072764.2</v>
      </c>
      <c r="AI74" s="44">
        <f t="shared" si="44"/>
        <v>37</v>
      </c>
      <c r="AJ74" s="55">
        <f t="shared" si="65"/>
        <v>4542720</v>
      </c>
      <c r="AK74" s="59">
        <v>12</v>
      </c>
      <c r="AL74" s="44">
        <f t="shared" si="46"/>
        <v>37</v>
      </c>
      <c r="AM74" s="45">
        <f t="shared" si="39"/>
        <v>46232.523306666662</v>
      </c>
      <c r="AN74" s="44">
        <f t="shared" si="54"/>
        <v>97</v>
      </c>
      <c r="AO74" s="45">
        <f t="shared" si="5"/>
        <v>56248.933666331635</v>
      </c>
      <c r="AP74"/>
      <c r="AQ74" s="46">
        <f t="shared" si="47"/>
        <v>37</v>
      </c>
      <c r="AR74" s="47">
        <f t="shared" si="40"/>
        <v>32614.710613333329</v>
      </c>
      <c r="AS74" s="46">
        <f t="shared" si="55"/>
        <v>97</v>
      </c>
      <c r="AT74" s="47">
        <f t="shared" si="6"/>
        <v>39680.782328648078</v>
      </c>
      <c r="AV74" s="41">
        <f t="shared" si="7"/>
        <v>0</v>
      </c>
      <c r="AW74" s="41">
        <f t="shared" si="8"/>
        <v>0</v>
      </c>
      <c r="AX74" s="43">
        <f t="shared" si="9"/>
        <v>0</v>
      </c>
      <c r="AY74" s="43">
        <f t="shared" si="10"/>
        <v>0</v>
      </c>
      <c r="AZ74" s="11"/>
      <c r="BA74" s="36">
        <f t="shared" si="68"/>
        <v>37</v>
      </c>
      <c r="BB74" s="35">
        <f t="shared" si="57"/>
        <v>46232.523306666662</v>
      </c>
      <c r="BC74" s="120"/>
      <c r="BD74" s="306">
        <f t="shared" si="69"/>
        <v>37</v>
      </c>
      <c r="BE74" s="303">
        <f t="shared" si="62"/>
        <v>32614.710613333329</v>
      </c>
      <c r="BF74" s="208"/>
      <c r="BG74" s="37">
        <f t="shared" si="50"/>
        <v>37</v>
      </c>
      <c r="BH74" s="8">
        <f t="shared" si="66"/>
        <v>368.86886399999997</v>
      </c>
      <c r="BI74" s="8"/>
      <c r="BJ74" s="37">
        <f t="shared" si="51"/>
        <v>37</v>
      </c>
      <c r="BK74" s="8">
        <f t="shared" si="13"/>
        <v>0</v>
      </c>
      <c r="BL74" s="8"/>
      <c r="BM74" s="4">
        <v>36</v>
      </c>
      <c r="BN74" s="14">
        <f t="shared" si="14"/>
        <v>28182.023333333334</v>
      </c>
      <c r="BO74" s="14">
        <f t="shared" si="15"/>
        <v>7101.8698800000002</v>
      </c>
      <c r="BP74" s="14">
        <f t="shared" si="42"/>
        <v>1136.2991808000002</v>
      </c>
      <c r="BQ74" s="14">
        <f t="shared" si="16"/>
        <v>2536.3821000000003</v>
      </c>
      <c r="BR74" s="38">
        <f t="shared" si="67"/>
        <v>38956.57449413334</v>
      </c>
      <c r="BT74" s="4">
        <v>36</v>
      </c>
      <c r="BU74" s="14">
        <f>SUM(BN$39:BN74)</f>
        <v>925904.2799999998</v>
      </c>
      <c r="BV74" s="14">
        <f>SUM(BO$39:BO74)</f>
        <v>233327.8785600001</v>
      </c>
      <c r="BW74" s="14">
        <f>SUM(BP$39:BP74)</f>
        <v>37332.460569600014</v>
      </c>
      <c r="BX74" s="14">
        <f>SUM(BQ$39:BQ74)</f>
        <v>83331.385200000048</v>
      </c>
      <c r="BY74" s="21">
        <f>SUM(BR$39:BR74)</f>
        <v>1279896.0043295992</v>
      </c>
    </row>
    <row r="75" spans="1:77" ht="18" customHeight="1" x14ac:dyDescent="0.25">
      <c r="A75" s="268"/>
      <c r="B75" s="267">
        <f t="shared" si="52"/>
        <v>37</v>
      </c>
      <c r="C75" s="264">
        <f t="shared" si="43"/>
        <v>38</v>
      </c>
      <c r="D75" s="265">
        <f t="shared" si="19"/>
        <v>48081.824238933325</v>
      </c>
      <c r="E75" s="266">
        <f t="shared" si="20"/>
        <v>36745.55733333333</v>
      </c>
      <c r="F75" s="266">
        <f t="shared" si="59"/>
        <v>6614.2003199999999</v>
      </c>
      <c r="G75" s="266">
        <f t="shared" si="22"/>
        <v>1058.2720512000001</v>
      </c>
      <c r="H75" s="266">
        <f t="shared" si="23"/>
        <v>2362.2143999999998</v>
      </c>
      <c r="I75" s="266">
        <f t="shared" si="24"/>
        <v>1301.5801344000001</v>
      </c>
      <c r="J75" s="435">
        <f>'Resumen Flex'!K39</f>
        <v>0</v>
      </c>
      <c r="K75" s="317">
        <f t="shared" si="25"/>
        <v>0</v>
      </c>
      <c r="L75" s="317">
        <f>IF(J75=0,0,($AJ75*$G$15*(100%-$BE$29)*$AX75))</f>
        <v>0</v>
      </c>
      <c r="M75" s="317">
        <f t="shared" si="27"/>
        <v>0</v>
      </c>
      <c r="N75" s="347">
        <f t="shared" si="28"/>
        <v>0</v>
      </c>
      <c r="O75" s="267">
        <f t="shared" si="53"/>
        <v>97</v>
      </c>
      <c r="P75" s="264">
        <f t="shared" si="29"/>
        <v>98</v>
      </c>
      <c r="Q75" s="265">
        <f t="shared" si="30"/>
        <v>58498.891012984895</v>
      </c>
      <c r="R75" s="266">
        <f t="shared" si="31"/>
        <v>44706.588979905595</v>
      </c>
      <c r="S75" s="266">
        <f t="shared" si="32"/>
        <v>8047.1860163830079</v>
      </c>
      <c r="T75" s="266">
        <f t="shared" si="33"/>
        <v>1287.5497626212814</v>
      </c>
      <c r="U75" s="266">
        <f t="shared" si="34"/>
        <v>2873.995005851074</v>
      </c>
      <c r="V75" s="266">
        <f t="shared" si="35"/>
        <v>1583.5712482239419</v>
      </c>
      <c r="W75" s="435">
        <f>'Resumen Flex'!K44</f>
        <v>0</v>
      </c>
      <c r="X75" s="317">
        <f t="shared" si="2"/>
        <v>0</v>
      </c>
      <c r="Y75" s="317">
        <f t="shared" si="3"/>
        <v>0</v>
      </c>
      <c r="Z75" s="317">
        <f t="shared" si="4"/>
        <v>0</v>
      </c>
      <c r="AA75" s="347">
        <f t="shared" si="36"/>
        <v>0</v>
      </c>
      <c r="AB75" s="309"/>
      <c r="AC75" s="136"/>
      <c r="AD75" s="136"/>
      <c r="AE75" s="136"/>
      <c r="AF75" s="136"/>
      <c r="AG75" s="13">
        <f t="shared" si="37"/>
        <v>37</v>
      </c>
      <c r="AH75" s="14">
        <f>((AH74)+(AH74*$D$29))</f>
        <v>5574967.8558</v>
      </c>
      <c r="AI75" s="44">
        <f t="shared" si="44"/>
        <v>38</v>
      </c>
      <c r="AJ75" s="55">
        <f>((AJ74)+(AJ74*$E$29))</f>
        <v>4724428.7999999998</v>
      </c>
      <c r="AK75" s="59">
        <v>1</v>
      </c>
      <c r="AL75" s="44">
        <f t="shared" si="46"/>
        <v>38</v>
      </c>
      <c r="AM75" s="45">
        <f t="shared" si="39"/>
        <v>48081.824238933325</v>
      </c>
      <c r="AN75" s="44">
        <f t="shared" si="54"/>
        <v>98</v>
      </c>
      <c r="AO75" s="45">
        <f t="shared" si="5"/>
        <v>58498.891012984895</v>
      </c>
      <c r="AP75"/>
      <c r="AQ75" s="46">
        <f t="shared" si="47"/>
        <v>38</v>
      </c>
      <c r="AR75" s="47">
        <f t="shared" si="40"/>
        <v>33919.299037866665</v>
      </c>
      <c r="AS75" s="46">
        <f t="shared" si="55"/>
        <v>98</v>
      </c>
      <c r="AT75" s="47">
        <f t="shared" si="6"/>
        <v>41268.013621794002</v>
      </c>
      <c r="AV75" s="41">
        <f t="shared" si="7"/>
        <v>0</v>
      </c>
      <c r="AW75" s="41">
        <f t="shared" si="8"/>
        <v>0</v>
      </c>
      <c r="AX75" s="43">
        <f t="shared" si="9"/>
        <v>0</v>
      </c>
      <c r="AY75" s="43">
        <f t="shared" si="10"/>
        <v>0</v>
      </c>
      <c r="AZ75" s="11"/>
      <c r="BA75" s="36">
        <f t="shared" si="68"/>
        <v>38</v>
      </c>
      <c r="BB75" s="35">
        <f t="shared" si="57"/>
        <v>48081.824238933325</v>
      </c>
      <c r="BC75" s="120"/>
      <c r="BD75" s="307">
        <f t="shared" si="69"/>
        <v>38</v>
      </c>
      <c r="BE75" s="303">
        <f t="shared" ref="BE75:BE138" si="70">AJ75/$B$10+AJ75*($G$15*(100%-$BE$29)*1.16)</f>
        <v>33919.299037866665</v>
      </c>
      <c r="BF75" s="208"/>
      <c r="BG75" s="37">
        <f t="shared" si="50"/>
        <v>38</v>
      </c>
      <c r="BH75" s="8">
        <f t="shared" si="66"/>
        <v>383.62361855999995</v>
      </c>
      <c r="BI75" s="8"/>
      <c r="BJ75" s="37">
        <f t="shared" si="51"/>
        <v>38</v>
      </c>
      <c r="BK75" s="8">
        <f t="shared" si="13"/>
        <v>0</v>
      </c>
      <c r="BL75" s="8"/>
      <c r="BM75" s="4">
        <v>37</v>
      </c>
      <c r="BN75" s="14">
        <f t="shared" si="14"/>
        <v>30972.043643333334</v>
      </c>
      <c r="BO75" s="14">
        <f t="shared" si="15"/>
        <v>7804.9549981199998</v>
      </c>
      <c r="BP75" s="14">
        <f t="shared" si="42"/>
        <v>1248.7927996992</v>
      </c>
      <c r="BQ75" s="14">
        <f t="shared" si="16"/>
        <v>2787.4839279000003</v>
      </c>
      <c r="BR75" s="38">
        <f t="shared" si="67"/>
        <v>42813.275369052535</v>
      </c>
      <c r="BT75" s="4">
        <v>37</v>
      </c>
      <c r="BU75" s="14">
        <f>SUM(BN$39:BN75)</f>
        <v>956876.32364333316</v>
      </c>
      <c r="BV75" s="14">
        <f>SUM(BO$39:BO75)</f>
        <v>241132.8335581201</v>
      </c>
      <c r="BW75" s="14">
        <f>SUM(BP$39:BP75)</f>
        <v>38581.253369299215</v>
      </c>
      <c r="BX75" s="14">
        <f>SUM(BQ$39:BQ75)</f>
        <v>86118.869127900049</v>
      </c>
      <c r="BY75" s="21">
        <f>SUM(BR$39:BR75)</f>
        <v>1322709.2796986517</v>
      </c>
    </row>
    <row r="76" spans="1:77" ht="18" customHeight="1" x14ac:dyDescent="0.25">
      <c r="A76" s="268"/>
      <c r="B76" s="267">
        <f t="shared" si="52"/>
        <v>38</v>
      </c>
      <c r="C76" s="264">
        <f t="shared" si="43"/>
        <v>39</v>
      </c>
      <c r="D76" s="265">
        <f t="shared" si="19"/>
        <v>48081.824238933325</v>
      </c>
      <c r="E76" s="266">
        <f t="shared" si="20"/>
        <v>36745.55733333333</v>
      </c>
      <c r="F76" s="266">
        <f t="shared" si="59"/>
        <v>6614.2003199999999</v>
      </c>
      <c r="G76" s="266">
        <f t="shared" si="22"/>
        <v>1058.2720512000001</v>
      </c>
      <c r="H76" s="266">
        <f t="shared" si="23"/>
        <v>2362.2143999999998</v>
      </c>
      <c r="I76" s="266">
        <f t="shared" si="24"/>
        <v>1301.5801344000001</v>
      </c>
      <c r="J76" s="435"/>
      <c r="K76" s="317">
        <f t="shared" si="25"/>
        <v>0</v>
      </c>
      <c r="L76" s="317">
        <f t="shared" ref="L76:L98" si="71">IF(J76=0,0,($AJ76*$G$15*(100%-$BE$29)*$AX76))</f>
        <v>0</v>
      </c>
      <c r="M76" s="317">
        <f t="shared" si="27"/>
        <v>0</v>
      </c>
      <c r="N76" s="347">
        <f t="shared" si="28"/>
        <v>0</v>
      </c>
      <c r="O76" s="267">
        <f t="shared" si="53"/>
        <v>98</v>
      </c>
      <c r="P76" s="264">
        <f t="shared" si="29"/>
        <v>99</v>
      </c>
      <c r="Q76" s="265">
        <f t="shared" si="30"/>
        <v>58498.891012984895</v>
      </c>
      <c r="R76" s="266">
        <f t="shared" si="31"/>
        <v>44706.588979905595</v>
      </c>
      <c r="S76" s="266">
        <f t="shared" si="32"/>
        <v>8047.1860163830079</v>
      </c>
      <c r="T76" s="266">
        <f t="shared" si="33"/>
        <v>1287.5497626212814</v>
      </c>
      <c r="U76" s="266">
        <f t="shared" si="34"/>
        <v>2873.995005851074</v>
      </c>
      <c r="V76" s="266">
        <f t="shared" si="35"/>
        <v>1583.5712482239419</v>
      </c>
      <c r="W76" s="435"/>
      <c r="X76" s="317">
        <f t="shared" si="2"/>
        <v>0</v>
      </c>
      <c r="Y76" s="317">
        <f t="shared" si="3"/>
        <v>0</v>
      </c>
      <c r="Z76" s="317">
        <f t="shared" si="4"/>
        <v>0</v>
      </c>
      <c r="AA76" s="347">
        <f t="shared" si="36"/>
        <v>0</v>
      </c>
      <c r="AB76" s="309"/>
      <c r="AC76" s="132"/>
      <c r="AD76" s="136"/>
      <c r="AE76" s="136"/>
      <c r="AF76" s="136"/>
      <c r="AG76" s="13">
        <f t="shared" si="37"/>
        <v>38</v>
      </c>
      <c r="AH76" s="14">
        <f t="shared" ref="AH76:AH86" si="72">AH75</f>
        <v>5574967.8558</v>
      </c>
      <c r="AI76" s="44">
        <f t="shared" si="44"/>
        <v>39</v>
      </c>
      <c r="AJ76" s="55">
        <f>AJ75</f>
        <v>4724428.7999999998</v>
      </c>
      <c r="AK76" s="59">
        <v>2</v>
      </c>
      <c r="AL76" s="44">
        <f t="shared" si="46"/>
        <v>39</v>
      </c>
      <c r="AM76" s="45">
        <f t="shared" si="39"/>
        <v>48081.824238933325</v>
      </c>
      <c r="AN76" s="44">
        <f t="shared" si="54"/>
        <v>99</v>
      </c>
      <c r="AO76" s="45">
        <f t="shared" si="5"/>
        <v>58498.891012984895</v>
      </c>
      <c r="AP76"/>
      <c r="AQ76" s="46">
        <f t="shared" si="47"/>
        <v>39</v>
      </c>
      <c r="AR76" s="47">
        <f t="shared" si="40"/>
        <v>33919.299037866665</v>
      </c>
      <c r="AS76" s="46">
        <f t="shared" si="55"/>
        <v>99</v>
      </c>
      <c r="AT76" s="47">
        <f t="shared" si="6"/>
        <v>41268.013621794002</v>
      </c>
      <c r="AV76" s="41">
        <f t="shared" si="7"/>
        <v>0</v>
      </c>
      <c r="AW76" s="41">
        <f t="shared" si="8"/>
        <v>0</v>
      </c>
      <c r="AX76" s="43">
        <f t="shared" si="9"/>
        <v>0</v>
      </c>
      <c r="AY76" s="43">
        <f t="shared" si="10"/>
        <v>0</v>
      </c>
      <c r="AZ76" s="11"/>
      <c r="BA76" s="36">
        <f t="shared" si="68"/>
        <v>39</v>
      </c>
      <c r="BB76" s="35">
        <f t="shared" si="57"/>
        <v>48081.824238933325</v>
      </c>
      <c r="BC76" s="120"/>
      <c r="BD76" s="307">
        <f t="shared" si="69"/>
        <v>39</v>
      </c>
      <c r="BE76" s="303">
        <f t="shared" si="70"/>
        <v>33919.299037866665</v>
      </c>
      <c r="BF76" s="208"/>
      <c r="BG76" s="37">
        <f t="shared" si="50"/>
        <v>39</v>
      </c>
      <c r="BH76" s="8">
        <f t="shared" si="66"/>
        <v>383.62361855999995</v>
      </c>
      <c r="BI76" s="8"/>
      <c r="BJ76" s="37">
        <f t="shared" si="51"/>
        <v>39</v>
      </c>
      <c r="BK76" s="8">
        <f t="shared" si="13"/>
        <v>0</v>
      </c>
      <c r="BL76" s="8"/>
      <c r="BM76" s="4">
        <v>38</v>
      </c>
      <c r="BN76" s="14">
        <f t="shared" si="14"/>
        <v>30972.043643333334</v>
      </c>
      <c r="BO76" s="14">
        <f t="shared" si="15"/>
        <v>7804.9549981199998</v>
      </c>
      <c r="BP76" s="14">
        <f t="shared" si="42"/>
        <v>1248.7927996992</v>
      </c>
      <c r="BQ76" s="14">
        <f t="shared" si="16"/>
        <v>2787.4839279000003</v>
      </c>
      <c r="BR76" s="38">
        <f t="shared" si="67"/>
        <v>42813.275369052535</v>
      </c>
      <c r="BT76" s="4">
        <v>38</v>
      </c>
      <c r="BU76" s="14">
        <f>SUM(BN$39:BN76)</f>
        <v>987848.36728666653</v>
      </c>
      <c r="BV76" s="14">
        <f>SUM(BO$39:BO76)</f>
        <v>248937.78855624009</v>
      </c>
      <c r="BW76" s="14">
        <f>SUM(BP$39:BP76)</f>
        <v>39830.046168998415</v>
      </c>
      <c r="BX76" s="14">
        <f>SUM(BQ$39:BQ76)</f>
        <v>88906.353055800049</v>
      </c>
      <c r="BY76" s="21">
        <f>SUM(BR$39:BR76)</f>
        <v>1365522.5550677043</v>
      </c>
    </row>
    <row r="77" spans="1:77" ht="18" customHeight="1" x14ac:dyDescent="0.25">
      <c r="A77" s="268"/>
      <c r="B77" s="267">
        <f t="shared" si="52"/>
        <v>39</v>
      </c>
      <c r="C77" s="264">
        <f t="shared" si="43"/>
        <v>40</v>
      </c>
      <c r="D77" s="265">
        <f t="shared" si="19"/>
        <v>48081.824238933325</v>
      </c>
      <c r="E77" s="266">
        <f t="shared" si="20"/>
        <v>36745.55733333333</v>
      </c>
      <c r="F77" s="266">
        <f t="shared" si="59"/>
        <v>6614.2003199999999</v>
      </c>
      <c r="G77" s="266">
        <f t="shared" si="22"/>
        <v>1058.2720512000001</v>
      </c>
      <c r="H77" s="266">
        <f t="shared" si="23"/>
        <v>2362.2143999999998</v>
      </c>
      <c r="I77" s="266">
        <f t="shared" si="24"/>
        <v>1301.5801344000001</v>
      </c>
      <c r="J77" s="435"/>
      <c r="K77" s="317">
        <f t="shared" si="25"/>
        <v>0</v>
      </c>
      <c r="L77" s="317">
        <f t="shared" si="71"/>
        <v>0</v>
      </c>
      <c r="M77" s="317">
        <f t="shared" si="27"/>
        <v>0</v>
      </c>
      <c r="N77" s="347">
        <f t="shared" si="28"/>
        <v>0</v>
      </c>
      <c r="O77" s="267">
        <f t="shared" si="53"/>
        <v>99</v>
      </c>
      <c r="P77" s="264">
        <f t="shared" si="29"/>
        <v>100</v>
      </c>
      <c r="Q77" s="265">
        <f t="shared" si="30"/>
        <v>58498.891012984895</v>
      </c>
      <c r="R77" s="266">
        <f t="shared" si="31"/>
        <v>44706.588979905595</v>
      </c>
      <c r="S77" s="266">
        <f t="shared" si="32"/>
        <v>8047.1860163830079</v>
      </c>
      <c r="T77" s="266">
        <f t="shared" si="33"/>
        <v>1287.5497626212814</v>
      </c>
      <c r="U77" s="266">
        <f t="shared" si="34"/>
        <v>2873.995005851074</v>
      </c>
      <c r="V77" s="266">
        <f t="shared" si="35"/>
        <v>1583.5712482239419</v>
      </c>
      <c r="W77" s="435"/>
      <c r="X77" s="317">
        <f t="shared" si="2"/>
        <v>0</v>
      </c>
      <c r="Y77" s="317">
        <f t="shared" si="3"/>
        <v>0</v>
      </c>
      <c r="Z77" s="317">
        <f t="shared" si="4"/>
        <v>0</v>
      </c>
      <c r="AA77" s="347">
        <f t="shared" si="36"/>
        <v>0</v>
      </c>
      <c r="AB77" s="309"/>
      <c r="AC77" s="132"/>
      <c r="AD77" s="136"/>
      <c r="AE77" s="136"/>
      <c r="AF77" s="132"/>
      <c r="AG77" s="13">
        <f t="shared" si="37"/>
        <v>39</v>
      </c>
      <c r="AH77" s="14">
        <f t="shared" si="72"/>
        <v>5574967.8558</v>
      </c>
      <c r="AI77" s="44">
        <f t="shared" si="44"/>
        <v>40</v>
      </c>
      <c r="AJ77" s="55">
        <f t="shared" ref="AJ77:AJ86" si="73">AJ76</f>
        <v>4724428.7999999998</v>
      </c>
      <c r="AK77" s="59">
        <v>3</v>
      </c>
      <c r="AL77" s="44">
        <f t="shared" si="46"/>
        <v>40</v>
      </c>
      <c r="AM77" s="45">
        <f t="shared" si="39"/>
        <v>48081.824238933325</v>
      </c>
      <c r="AN77" s="44">
        <f t="shared" si="54"/>
        <v>100</v>
      </c>
      <c r="AO77" s="45">
        <f t="shared" si="5"/>
        <v>58498.891012984895</v>
      </c>
      <c r="AP77"/>
      <c r="AQ77" s="46">
        <f t="shared" si="47"/>
        <v>40</v>
      </c>
      <c r="AR77" s="47">
        <f t="shared" si="40"/>
        <v>33919.299037866665</v>
      </c>
      <c r="AS77" s="46">
        <f t="shared" si="55"/>
        <v>100</v>
      </c>
      <c r="AT77" s="47">
        <f t="shared" si="6"/>
        <v>41268.013621794002</v>
      </c>
      <c r="AV77" s="41">
        <f t="shared" si="7"/>
        <v>0</v>
      </c>
      <c r="AW77" s="41">
        <f t="shared" si="8"/>
        <v>0</v>
      </c>
      <c r="AX77" s="43">
        <f t="shared" si="9"/>
        <v>0</v>
      </c>
      <c r="AY77" s="43">
        <f t="shared" si="10"/>
        <v>0</v>
      </c>
      <c r="AZ77" s="11"/>
      <c r="BA77" s="36">
        <f t="shared" si="68"/>
        <v>40</v>
      </c>
      <c r="BB77" s="35">
        <f t="shared" si="57"/>
        <v>48081.824238933325</v>
      </c>
      <c r="BC77" s="120"/>
      <c r="BD77" s="307">
        <f t="shared" si="69"/>
        <v>40</v>
      </c>
      <c r="BE77" s="303">
        <f t="shared" si="70"/>
        <v>33919.299037866665</v>
      </c>
      <c r="BF77" s="208"/>
      <c r="BG77" s="37">
        <f t="shared" si="50"/>
        <v>40</v>
      </c>
      <c r="BH77" s="8">
        <f t="shared" si="66"/>
        <v>383.62361855999995</v>
      </c>
      <c r="BI77" s="8"/>
      <c r="BJ77" s="37">
        <f t="shared" si="51"/>
        <v>40</v>
      </c>
      <c r="BK77" s="8">
        <f t="shared" si="13"/>
        <v>0</v>
      </c>
      <c r="BL77" s="8"/>
      <c r="BM77" s="4">
        <v>39</v>
      </c>
      <c r="BN77" s="14">
        <f t="shared" si="14"/>
        <v>30972.043643333334</v>
      </c>
      <c r="BO77" s="14">
        <f t="shared" si="15"/>
        <v>7804.9549981199998</v>
      </c>
      <c r="BP77" s="14">
        <f t="shared" si="42"/>
        <v>1248.7927996992</v>
      </c>
      <c r="BQ77" s="14">
        <f t="shared" si="16"/>
        <v>2787.4839279000003</v>
      </c>
      <c r="BR77" s="38">
        <f t="shared" si="67"/>
        <v>42813.275369052535</v>
      </c>
      <c r="BT77" s="4">
        <v>39</v>
      </c>
      <c r="BU77" s="14">
        <f>SUM(BN$39:BN77)</f>
        <v>1018820.4109299999</v>
      </c>
      <c r="BV77" s="14">
        <f>SUM(BO$39:BO77)</f>
        <v>256742.74355436009</v>
      </c>
      <c r="BW77" s="14">
        <f>SUM(BP$39:BP77)</f>
        <v>41078.838968697615</v>
      </c>
      <c r="BX77" s="14">
        <f>SUM(BQ$39:BQ77)</f>
        <v>91693.83698370005</v>
      </c>
      <c r="BY77" s="21">
        <f>SUM(BR$39:BR77)</f>
        <v>1408335.8304367568</v>
      </c>
    </row>
    <row r="78" spans="1:77" ht="18" customHeight="1" x14ac:dyDescent="0.25">
      <c r="A78" s="268"/>
      <c r="B78" s="267">
        <f t="shared" si="52"/>
        <v>40</v>
      </c>
      <c r="C78" s="264">
        <f t="shared" si="43"/>
        <v>41</v>
      </c>
      <c r="D78" s="265">
        <f t="shared" si="19"/>
        <v>48081.824238933325</v>
      </c>
      <c r="E78" s="266">
        <f t="shared" si="20"/>
        <v>36745.55733333333</v>
      </c>
      <c r="F78" s="266">
        <f t="shared" si="59"/>
        <v>6614.2003199999999</v>
      </c>
      <c r="G78" s="266">
        <f t="shared" si="22"/>
        <v>1058.2720512000001</v>
      </c>
      <c r="H78" s="266">
        <f t="shared" si="23"/>
        <v>2362.2143999999998</v>
      </c>
      <c r="I78" s="266">
        <f t="shared" si="24"/>
        <v>1301.5801344000001</v>
      </c>
      <c r="J78" s="435"/>
      <c r="K78" s="317">
        <f t="shared" si="25"/>
        <v>0</v>
      </c>
      <c r="L78" s="317">
        <f t="shared" si="71"/>
        <v>0</v>
      </c>
      <c r="M78" s="317">
        <f t="shared" si="27"/>
        <v>0</v>
      </c>
      <c r="N78" s="347">
        <f t="shared" si="28"/>
        <v>0</v>
      </c>
      <c r="O78" s="267">
        <f t="shared" si="53"/>
        <v>100</v>
      </c>
      <c r="P78" s="264">
        <f t="shared" si="29"/>
        <v>101</v>
      </c>
      <c r="Q78" s="265">
        <f t="shared" si="30"/>
        <v>58498.891012984895</v>
      </c>
      <c r="R78" s="266">
        <f t="shared" si="31"/>
        <v>44706.588979905595</v>
      </c>
      <c r="S78" s="266">
        <f t="shared" si="32"/>
        <v>8047.1860163830079</v>
      </c>
      <c r="T78" s="266">
        <f t="shared" si="33"/>
        <v>1287.5497626212814</v>
      </c>
      <c r="U78" s="266">
        <f t="shared" si="34"/>
        <v>2873.995005851074</v>
      </c>
      <c r="V78" s="266">
        <f t="shared" si="35"/>
        <v>1583.5712482239419</v>
      </c>
      <c r="W78" s="435"/>
      <c r="X78" s="317">
        <f t="shared" si="2"/>
        <v>0</v>
      </c>
      <c r="Y78" s="317">
        <f t="shared" si="3"/>
        <v>0</v>
      </c>
      <c r="Z78" s="317">
        <f t="shared" si="4"/>
        <v>0</v>
      </c>
      <c r="AA78" s="347">
        <f t="shared" si="36"/>
        <v>0</v>
      </c>
      <c r="AB78" s="309"/>
      <c r="AC78" s="132"/>
      <c r="AD78" s="136"/>
      <c r="AE78" s="136"/>
      <c r="AF78" s="132"/>
      <c r="AG78" s="13">
        <f t="shared" si="37"/>
        <v>40</v>
      </c>
      <c r="AH78" s="14">
        <f t="shared" si="72"/>
        <v>5574967.8558</v>
      </c>
      <c r="AI78" s="44">
        <f t="shared" si="44"/>
        <v>41</v>
      </c>
      <c r="AJ78" s="55">
        <f t="shared" si="73"/>
        <v>4724428.7999999998</v>
      </c>
      <c r="AK78" s="59">
        <v>4</v>
      </c>
      <c r="AL78" s="44">
        <f t="shared" si="46"/>
        <v>41</v>
      </c>
      <c r="AM78" s="45">
        <f t="shared" si="39"/>
        <v>48081.824238933325</v>
      </c>
      <c r="AN78" s="44">
        <f t="shared" si="54"/>
        <v>101</v>
      </c>
      <c r="AO78" s="45">
        <f t="shared" si="5"/>
        <v>58498.891012984895</v>
      </c>
      <c r="AP78"/>
      <c r="AQ78" s="46">
        <f t="shared" si="47"/>
        <v>41</v>
      </c>
      <c r="AR78" s="47">
        <f t="shared" si="40"/>
        <v>33919.299037866665</v>
      </c>
      <c r="AS78" s="46">
        <f t="shared" si="55"/>
        <v>101</v>
      </c>
      <c r="AT78" s="47">
        <f t="shared" si="6"/>
        <v>41268.013621794002</v>
      </c>
      <c r="AV78" s="41">
        <f t="shared" si="7"/>
        <v>0</v>
      </c>
      <c r="AW78" s="41">
        <f t="shared" si="8"/>
        <v>0</v>
      </c>
      <c r="AX78" s="43">
        <f t="shared" si="9"/>
        <v>0</v>
      </c>
      <c r="AY78" s="43">
        <f t="shared" si="10"/>
        <v>0</v>
      </c>
      <c r="AZ78" s="11"/>
      <c r="BA78" s="36">
        <f t="shared" si="68"/>
        <v>41</v>
      </c>
      <c r="BB78" s="35">
        <f t="shared" si="57"/>
        <v>48081.824238933325</v>
      </c>
      <c r="BC78" s="120"/>
      <c r="BD78" s="307">
        <f t="shared" si="69"/>
        <v>41</v>
      </c>
      <c r="BE78" s="303">
        <f t="shared" si="70"/>
        <v>33919.299037866665</v>
      </c>
      <c r="BF78" s="208"/>
      <c r="BG78" s="37">
        <f t="shared" si="50"/>
        <v>41</v>
      </c>
      <c r="BH78" s="8">
        <f t="shared" si="66"/>
        <v>383.62361855999995</v>
      </c>
      <c r="BI78" s="8"/>
      <c r="BJ78" s="37">
        <f t="shared" si="51"/>
        <v>41</v>
      </c>
      <c r="BK78" s="8">
        <f t="shared" si="13"/>
        <v>0</v>
      </c>
      <c r="BL78" s="8"/>
      <c r="BM78" s="4">
        <v>40</v>
      </c>
      <c r="BN78" s="14">
        <f t="shared" si="14"/>
        <v>30972.043643333334</v>
      </c>
      <c r="BO78" s="14">
        <f t="shared" si="15"/>
        <v>7804.9549981199998</v>
      </c>
      <c r="BP78" s="14">
        <f t="shared" si="42"/>
        <v>1248.7927996992</v>
      </c>
      <c r="BQ78" s="14">
        <f t="shared" si="16"/>
        <v>2787.4839279000003</v>
      </c>
      <c r="BR78" s="38">
        <f t="shared" si="67"/>
        <v>42813.275369052535</v>
      </c>
      <c r="BT78" s="4">
        <v>40</v>
      </c>
      <c r="BU78" s="14">
        <f>SUM(BN$39:BN78)</f>
        <v>1049792.4545733333</v>
      </c>
      <c r="BV78" s="14">
        <f>SUM(BO$39:BO78)</f>
        <v>264547.69855248008</v>
      </c>
      <c r="BW78" s="14">
        <f>SUM(BP$39:BP78)</f>
        <v>42327.631768396815</v>
      </c>
      <c r="BX78" s="14">
        <f>SUM(BQ$39:BQ78)</f>
        <v>94481.320911600051</v>
      </c>
      <c r="BY78" s="21">
        <f>SUM(BR$39:BR78)</f>
        <v>1451149.1058058094</v>
      </c>
    </row>
    <row r="79" spans="1:77" ht="18" customHeight="1" x14ac:dyDescent="0.25">
      <c r="A79" s="268"/>
      <c r="B79" s="267">
        <f t="shared" si="52"/>
        <v>41</v>
      </c>
      <c r="C79" s="264">
        <f t="shared" si="43"/>
        <v>42</v>
      </c>
      <c r="D79" s="265">
        <f t="shared" si="19"/>
        <v>48081.824238933325</v>
      </c>
      <c r="E79" s="266">
        <f t="shared" si="20"/>
        <v>36745.55733333333</v>
      </c>
      <c r="F79" s="266">
        <f t="shared" si="59"/>
        <v>6614.2003199999999</v>
      </c>
      <c r="G79" s="266">
        <f t="shared" si="22"/>
        <v>1058.2720512000001</v>
      </c>
      <c r="H79" s="266">
        <f t="shared" si="23"/>
        <v>2362.2143999999998</v>
      </c>
      <c r="I79" s="266">
        <f t="shared" si="24"/>
        <v>1301.5801344000001</v>
      </c>
      <c r="J79" s="435"/>
      <c r="K79" s="317">
        <f t="shared" si="25"/>
        <v>0</v>
      </c>
      <c r="L79" s="317">
        <f t="shared" si="71"/>
        <v>0</v>
      </c>
      <c r="M79" s="317">
        <f t="shared" si="27"/>
        <v>0</v>
      </c>
      <c r="N79" s="347">
        <f t="shared" si="28"/>
        <v>0</v>
      </c>
      <c r="O79" s="267">
        <f t="shared" si="53"/>
        <v>101</v>
      </c>
      <c r="P79" s="264">
        <f t="shared" si="29"/>
        <v>102</v>
      </c>
      <c r="Q79" s="265">
        <f t="shared" si="30"/>
        <v>58498.891012984895</v>
      </c>
      <c r="R79" s="266">
        <f t="shared" si="31"/>
        <v>44706.588979905595</v>
      </c>
      <c r="S79" s="266">
        <f t="shared" si="32"/>
        <v>8047.1860163830079</v>
      </c>
      <c r="T79" s="266">
        <f t="shared" si="33"/>
        <v>1287.5497626212814</v>
      </c>
      <c r="U79" s="266">
        <f t="shared" si="34"/>
        <v>2873.995005851074</v>
      </c>
      <c r="V79" s="266">
        <f t="shared" si="35"/>
        <v>1583.5712482239419</v>
      </c>
      <c r="W79" s="435"/>
      <c r="X79" s="317">
        <f t="shared" si="2"/>
        <v>0</v>
      </c>
      <c r="Y79" s="317">
        <f t="shared" si="3"/>
        <v>0</v>
      </c>
      <c r="Z79" s="317">
        <f t="shared" si="4"/>
        <v>0</v>
      </c>
      <c r="AA79" s="347">
        <f t="shared" si="36"/>
        <v>0</v>
      </c>
      <c r="AB79" s="309"/>
      <c r="AC79" s="132"/>
      <c r="AD79" s="136"/>
      <c r="AE79" s="136"/>
      <c r="AF79" s="132"/>
      <c r="AG79" s="13">
        <f t="shared" si="37"/>
        <v>41</v>
      </c>
      <c r="AH79" s="14">
        <f t="shared" si="72"/>
        <v>5574967.8558</v>
      </c>
      <c r="AI79" s="44">
        <f t="shared" si="44"/>
        <v>42</v>
      </c>
      <c r="AJ79" s="55">
        <f t="shared" si="73"/>
        <v>4724428.7999999998</v>
      </c>
      <c r="AK79" s="59">
        <v>5</v>
      </c>
      <c r="AL79" s="44">
        <f t="shared" si="46"/>
        <v>42</v>
      </c>
      <c r="AM79" s="45">
        <f t="shared" si="39"/>
        <v>48081.824238933325</v>
      </c>
      <c r="AN79" s="44">
        <f t="shared" si="54"/>
        <v>102</v>
      </c>
      <c r="AO79" s="45">
        <f t="shared" si="5"/>
        <v>58498.891012984895</v>
      </c>
      <c r="AP79"/>
      <c r="AQ79" s="46">
        <f t="shared" si="47"/>
        <v>42</v>
      </c>
      <c r="AR79" s="47">
        <f t="shared" si="40"/>
        <v>33919.299037866665</v>
      </c>
      <c r="AS79" s="46">
        <f t="shared" si="55"/>
        <v>102</v>
      </c>
      <c r="AT79" s="47">
        <f t="shared" si="6"/>
        <v>41268.013621794002</v>
      </c>
      <c r="AV79" s="41">
        <f t="shared" si="7"/>
        <v>0</v>
      </c>
      <c r="AW79" s="41">
        <f t="shared" si="8"/>
        <v>0</v>
      </c>
      <c r="AX79" s="43">
        <f t="shared" si="9"/>
        <v>0</v>
      </c>
      <c r="AY79" s="43">
        <f t="shared" si="10"/>
        <v>0</v>
      </c>
      <c r="AZ79" s="11"/>
      <c r="BA79" s="36">
        <f t="shared" si="68"/>
        <v>42</v>
      </c>
      <c r="BB79" s="35">
        <f t="shared" si="57"/>
        <v>48081.824238933325</v>
      </c>
      <c r="BC79" s="120"/>
      <c r="BD79" s="307">
        <f t="shared" si="69"/>
        <v>42</v>
      </c>
      <c r="BE79" s="303">
        <f t="shared" si="70"/>
        <v>33919.299037866665</v>
      </c>
      <c r="BF79" s="208"/>
      <c r="BG79" s="37">
        <f t="shared" si="50"/>
        <v>42</v>
      </c>
      <c r="BH79" s="8">
        <f t="shared" si="66"/>
        <v>383.62361855999995</v>
      </c>
      <c r="BI79" s="8"/>
      <c r="BJ79" s="37">
        <f t="shared" si="51"/>
        <v>42</v>
      </c>
      <c r="BK79" s="8">
        <f t="shared" si="13"/>
        <v>0</v>
      </c>
      <c r="BL79" s="8"/>
      <c r="BM79" s="4">
        <v>41</v>
      </c>
      <c r="BN79" s="14">
        <f t="shared" si="14"/>
        <v>30972.043643333334</v>
      </c>
      <c r="BO79" s="14">
        <f t="shared" si="15"/>
        <v>7804.9549981199998</v>
      </c>
      <c r="BP79" s="14">
        <f t="shared" si="42"/>
        <v>1248.7927996992</v>
      </c>
      <c r="BQ79" s="14">
        <f t="shared" si="16"/>
        <v>2787.4839279000003</v>
      </c>
      <c r="BR79" s="38">
        <f t="shared" si="67"/>
        <v>42813.275369052535</v>
      </c>
      <c r="BT79" s="4">
        <v>41</v>
      </c>
      <c r="BU79" s="14">
        <f>SUM(BN$39:BN79)</f>
        <v>1080764.4982166665</v>
      </c>
      <c r="BV79" s="14">
        <f>SUM(BO$39:BO79)</f>
        <v>272352.65355060011</v>
      </c>
      <c r="BW79" s="14">
        <f>SUM(BP$39:BP79)</f>
        <v>43576.424568096016</v>
      </c>
      <c r="BX79" s="14">
        <f>SUM(BQ$39:BQ79)</f>
        <v>97268.804839500051</v>
      </c>
      <c r="BY79" s="21">
        <f>SUM(BR$39:BR79)</f>
        <v>1493962.3811748619</v>
      </c>
    </row>
    <row r="80" spans="1:77" ht="18" customHeight="1" x14ac:dyDescent="0.25">
      <c r="A80" s="268"/>
      <c r="B80" s="267">
        <f t="shared" si="52"/>
        <v>42</v>
      </c>
      <c r="C80" s="264">
        <f t="shared" si="43"/>
        <v>43</v>
      </c>
      <c r="D80" s="265">
        <f t="shared" si="19"/>
        <v>48081.824238933325</v>
      </c>
      <c r="E80" s="266">
        <f t="shared" si="20"/>
        <v>36745.55733333333</v>
      </c>
      <c r="F80" s="266">
        <f t="shared" si="59"/>
        <v>6614.2003199999999</v>
      </c>
      <c r="G80" s="266">
        <f t="shared" si="22"/>
        <v>1058.2720512000001</v>
      </c>
      <c r="H80" s="266">
        <f t="shared" si="23"/>
        <v>2362.2143999999998</v>
      </c>
      <c r="I80" s="266">
        <f t="shared" si="24"/>
        <v>1301.5801344000001</v>
      </c>
      <c r="J80" s="435"/>
      <c r="K80" s="317">
        <f t="shared" si="25"/>
        <v>0</v>
      </c>
      <c r="L80" s="317">
        <f t="shared" si="71"/>
        <v>0</v>
      </c>
      <c r="M80" s="317">
        <f t="shared" si="27"/>
        <v>0</v>
      </c>
      <c r="N80" s="347">
        <f t="shared" si="28"/>
        <v>0</v>
      </c>
      <c r="O80" s="267">
        <f t="shared" si="53"/>
        <v>102</v>
      </c>
      <c r="P80" s="264">
        <f t="shared" si="29"/>
        <v>103</v>
      </c>
      <c r="Q80" s="265">
        <f t="shared" si="30"/>
        <v>58498.891012984895</v>
      </c>
      <c r="R80" s="266">
        <f t="shared" si="31"/>
        <v>44706.588979905595</v>
      </c>
      <c r="S80" s="266">
        <f t="shared" si="32"/>
        <v>8047.1860163830079</v>
      </c>
      <c r="T80" s="266">
        <f t="shared" si="33"/>
        <v>1287.5497626212814</v>
      </c>
      <c r="U80" s="266">
        <f t="shared" si="34"/>
        <v>2873.995005851074</v>
      </c>
      <c r="V80" s="266">
        <f t="shared" si="35"/>
        <v>1583.5712482239419</v>
      </c>
      <c r="W80" s="435"/>
      <c r="X80" s="317">
        <f t="shared" si="2"/>
        <v>0</v>
      </c>
      <c r="Y80" s="317">
        <f t="shared" si="3"/>
        <v>0</v>
      </c>
      <c r="Z80" s="317">
        <f t="shared" si="4"/>
        <v>0</v>
      </c>
      <c r="AA80" s="347">
        <f t="shared" si="36"/>
        <v>0</v>
      </c>
      <c r="AB80" s="309"/>
      <c r="AC80" s="132"/>
      <c r="AD80" s="136"/>
      <c r="AE80" s="136"/>
      <c r="AF80" s="132"/>
      <c r="AG80" s="13">
        <f t="shared" si="37"/>
        <v>42</v>
      </c>
      <c r="AH80" s="14">
        <f t="shared" si="72"/>
        <v>5574967.8558</v>
      </c>
      <c r="AI80" s="44">
        <f t="shared" si="44"/>
        <v>43</v>
      </c>
      <c r="AJ80" s="55">
        <f t="shared" si="73"/>
        <v>4724428.7999999998</v>
      </c>
      <c r="AK80" s="59">
        <v>6</v>
      </c>
      <c r="AL80" s="44">
        <f t="shared" si="46"/>
        <v>43</v>
      </c>
      <c r="AM80" s="45">
        <f t="shared" si="39"/>
        <v>48081.824238933325</v>
      </c>
      <c r="AN80" s="44">
        <f t="shared" si="54"/>
        <v>103</v>
      </c>
      <c r="AO80" s="45">
        <f t="shared" si="5"/>
        <v>58498.891012984895</v>
      </c>
      <c r="AP80" s="3"/>
      <c r="AQ80" s="46">
        <f t="shared" si="47"/>
        <v>43</v>
      </c>
      <c r="AR80" s="47">
        <f t="shared" si="40"/>
        <v>33919.299037866665</v>
      </c>
      <c r="AS80" s="46">
        <f t="shared" si="55"/>
        <v>103</v>
      </c>
      <c r="AT80" s="47">
        <f t="shared" si="6"/>
        <v>41268.013621794002</v>
      </c>
      <c r="AV80" s="41">
        <f t="shared" si="7"/>
        <v>0</v>
      </c>
      <c r="AW80" s="41">
        <f t="shared" si="8"/>
        <v>0</v>
      </c>
      <c r="AX80" s="43">
        <f t="shared" si="9"/>
        <v>0</v>
      </c>
      <c r="AY80" s="43">
        <f t="shared" si="10"/>
        <v>0</v>
      </c>
      <c r="AZ80" s="11"/>
      <c r="BA80" s="36">
        <f t="shared" si="68"/>
        <v>43</v>
      </c>
      <c r="BB80" s="35">
        <f t="shared" si="57"/>
        <v>48081.824238933325</v>
      </c>
      <c r="BC80" s="120"/>
      <c r="BD80" s="307">
        <f t="shared" si="69"/>
        <v>43</v>
      </c>
      <c r="BE80" s="303">
        <f t="shared" si="70"/>
        <v>33919.299037866665</v>
      </c>
      <c r="BF80" s="208"/>
      <c r="BG80" s="37">
        <f t="shared" si="50"/>
        <v>43</v>
      </c>
      <c r="BH80" s="8">
        <f t="shared" si="66"/>
        <v>383.62361855999995</v>
      </c>
      <c r="BI80" s="8"/>
      <c r="BJ80" s="37">
        <f t="shared" si="51"/>
        <v>43</v>
      </c>
      <c r="BK80" s="8">
        <f t="shared" si="13"/>
        <v>0</v>
      </c>
      <c r="BL80" s="8"/>
      <c r="BM80" s="4">
        <v>42</v>
      </c>
      <c r="BN80" s="14">
        <f t="shared" si="14"/>
        <v>30972.043643333334</v>
      </c>
      <c r="BO80" s="14">
        <f t="shared" si="15"/>
        <v>7804.9549981199998</v>
      </c>
      <c r="BP80" s="14">
        <f t="shared" si="42"/>
        <v>1248.7927996992</v>
      </c>
      <c r="BQ80" s="14">
        <f t="shared" si="16"/>
        <v>2787.4839279000003</v>
      </c>
      <c r="BR80" s="38">
        <f t="shared" si="67"/>
        <v>42813.275369052535</v>
      </c>
      <c r="BT80" s="4">
        <v>42</v>
      </c>
      <c r="BU80" s="14">
        <f>SUM(BN$39:BN80)</f>
        <v>1111736.5418599998</v>
      </c>
      <c r="BV80" s="14">
        <f>SUM(BO$39:BO80)</f>
        <v>280157.60854872013</v>
      </c>
      <c r="BW80" s="14">
        <f>SUM(BP$39:BP80)</f>
        <v>44825.217367795216</v>
      </c>
      <c r="BX80" s="14">
        <f>SUM(BQ$39:BQ80)</f>
        <v>100056.28876740005</v>
      </c>
      <c r="BY80" s="21">
        <f>SUM(BR$39:BR80)</f>
        <v>1536775.6565439145</v>
      </c>
    </row>
    <row r="81" spans="1:77" ht="18" customHeight="1" x14ac:dyDescent="0.25">
      <c r="A81" s="268"/>
      <c r="B81" s="267">
        <f t="shared" si="52"/>
        <v>43</v>
      </c>
      <c r="C81" s="264">
        <f t="shared" si="43"/>
        <v>44</v>
      </c>
      <c r="D81" s="265">
        <f t="shared" si="19"/>
        <v>48081.824238933325</v>
      </c>
      <c r="E81" s="266">
        <f t="shared" si="20"/>
        <v>36745.55733333333</v>
      </c>
      <c r="F81" s="266">
        <f t="shared" si="59"/>
        <v>6614.2003199999999</v>
      </c>
      <c r="G81" s="266">
        <f t="shared" si="22"/>
        <v>1058.2720512000001</v>
      </c>
      <c r="H81" s="266">
        <f t="shared" si="23"/>
        <v>2362.2143999999998</v>
      </c>
      <c r="I81" s="266">
        <f t="shared" si="24"/>
        <v>1301.5801344000001</v>
      </c>
      <c r="J81" s="435"/>
      <c r="K81" s="317">
        <f t="shared" si="25"/>
        <v>0</v>
      </c>
      <c r="L81" s="317">
        <f t="shared" si="71"/>
        <v>0</v>
      </c>
      <c r="M81" s="317">
        <f t="shared" si="27"/>
        <v>0</v>
      </c>
      <c r="N81" s="347">
        <f t="shared" si="28"/>
        <v>0</v>
      </c>
      <c r="O81" s="267">
        <f t="shared" si="53"/>
        <v>103</v>
      </c>
      <c r="P81" s="264">
        <f t="shared" si="29"/>
        <v>104</v>
      </c>
      <c r="Q81" s="265">
        <f t="shared" si="30"/>
        <v>58498.891012984895</v>
      </c>
      <c r="R81" s="266">
        <f t="shared" si="31"/>
        <v>44706.588979905595</v>
      </c>
      <c r="S81" s="266">
        <f t="shared" si="32"/>
        <v>8047.1860163830079</v>
      </c>
      <c r="T81" s="266">
        <f t="shared" si="33"/>
        <v>1287.5497626212814</v>
      </c>
      <c r="U81" s="266">
        <f t="shared" si="34"/>
        <v>2873.995005851074</v>
      </c>
      <c r="V81" s="266">
        <f t="shared" si="35"/>
        <v>1583.5712482239419</v>
      </c>
      <c r="W81" s="435"/>
      <c r="X81" s="317">
        <f t="shared" si="2"/>
        <v>0</v>
      </c>
      <c r="Y81" s="317">
        <f t="shared" si="3"/>
        <v>0</v>
      </c>
      <c r="Z81" s="317">
        <f t="shared" si="4"/>
        <v>0</v>
      </c>
      <c r="AA81" s="347">
        <f t="shared" si="36"/>
        <v>0</v>
      </c>
      <c r="AB81" s="309"/>
      <c r="AC81" s="132"/>
      <c r="AD81" s="136"/>
      <c r="AE81" s="136"/>
      <c r="AF81" s="132"/>
      <c r="AG81" s="13">
        <f t="shared" si="37"/>
        <v>43</v>
      </c>
      <c r="AH81" s="14">
        <f t="shared" si="72"/>
        <v>5574967.8558</v>
      </c>
      <c r="AI81" s="44">
        <f t="shared" si="44"/>
        <v>44</v>
      </c>
      <c r="AJ81" s="55">
        <f t="shared" si="73"/>
        <v>4724428.7999999998</v>
      </c>
      <c r="AK81" s="59">
        <v>7</v>
      </c>
      <c r="AL81" s="44">
        <f t="shared" si="46"/>
        <v>44</v>
      </c>
      <c r="AM81" s="45">
        <f t="shared" si="39"/>
        <v>48081.824238933325</v>
      </c>
      <c r="AN81" s="44">
        <f t="shared" si="54"/>
        <v>104</v>
      </c>
      <c r="AO81" s="45">
        <f t="shared" si="5"/>
        <v>58498.891012984895</v>
      </c>
      <c r="AP81" s="3"/>
      <c r="AQ81" s="46">
        <f t="shared" si="47"/>
        <v>44</v>
      </c>
      <c r="AR81" s="47">
        <f t="shared" si="40"/>
        <v>33919.299037866665</v>
      </c>
      <c r="AS81" s="46">
        <f t="shared" si="55"/>
        <v>104</v>
      </c>
      <c r="AT81" s="47">
        <f t="shared" si="6"/>
        <v>41268.013621794002</v>
      </c>
      <c r="AV81" s="41">
        <f t="shared" si="7"/>
        <v>0</v>
      </c>
      <c r="AW81" s="41">
        <f t="shared" si="8"/>
        <v>0</v>
      </c>
      <c r="AX81" s="43">
        <f t="shared" si="9"/>
        <v>0</v>
      </c>
      <c r="AY81" s="43">
        <f t="shared" si="10"/>
        <v>0</v>
      </c>
      <c r="AZ81" s="11"/>
      <c r="BA81" s="36">
        <f t="shared" si="68"/>
        <v>44</v>
      </c>
      <c r="BB81" s="35">
        <f t="shared" si="57"/>
        <v>48081.824238933325</v>
      </c>
      <c r="BC81" s="120"/>
      <c r="BD81" s="307">
        <f t="shared" si="69"/>
        <v>44</v>
      </c>
      <c r="BE81" s="303">
        <f t="shared" si="70"/>
        <v>33919.299037866665</v>
      </c>
      <c r="BF81" s="208"/>
      <c r="BG81" s="37">
        <f t="shared" si="50"/>
        <v>44</v>
      </c>
      <c r="BH81" s="8">
        <f t="shared" si="66"/>
        <v>383.62361855999995</v>
      </c>
      <c r="BI81" s="8"/>
      <c r="BJ81" s="37">
        <f t="shared" si="51"/>
        <v>44</v>
      </c>
      <c r="BK81" s="8">
        <f t="shared" si="13"/>
        <v>0</v>
      </c>
      <c r="BL81" s="8"/>
      <c r="BM81" s="4">
        <v>43</v>
      </c>
      <c r="BN81" s="14">
        <f t="shared" si="14"/>
        <v>30972.043643333334</v>
      </c>
      <c r="BO81" s="14">
        <f t="shared" si="15"/>
        <v>7804.9549981199998</v>
      </c>
      <c r="BP81" s="14">
        <f t="shared" si="42"/>
        <v>1248.7927996992</v>
      </c>
      <c r="BQ81" s="14">
        <f t="shared" si="16"/>
        <v>2787.4839279000003</v>
      </c>
      <c r="BR81" s="38">
        <f t="shared" si="67"/>
        <v>42813.275369052535</v>
      </c>
      <c r="BT81" s="4">
        <v>43</v>
      </c>
      <c r="BU81" s="14">
        <f>SUM(BN$39:BN81)</f>
        <v>1142708.585503333</v>
      </c>
      <c r="BV81" s="14">
        <f>SUM(BO$39:BO81)</f>
        <v>287962.56354684016</v>
      </c>
      <c r="BW81" s="14">
        <f>SUM(BP$39:BP81)</f>
        <v>46074.010167494416</v>
      </c>
      <c r="BX81" s="14">
        <f>SUM(BQ$39:BQ81)</f>
        <v>102843.77269530005</v>
      </c>
      <c r="BY81" s="21">
        <f>SUM(BR$39:BR81)</f>
        <v>1579588.931912967</v>
      </c>
    </row>
    <row r="82" spans="1:77" ht="18" customHeight="1" x14ac:dyDescent="0.25">
      <c r="A82" s="268"/>
      <c r="B82" s="267">
        <f t="shared" si="52"/>
        <v>44</v>
      </c>
      <c r="C82" s="264">
        <f t="shared" si="43"/>
        <v>45</v>
      </c>
      <c r="D82" s="265">
        <f t="shared" si="19"/>
        <v>48081.824238933325</v>
      </c>
      <c r="E82" s="266">
        <f t="shared" si="20"/>
        <v>36745.55733333333</v>
      </c>
      <c r="F82" s="266">
        <f t="shared" si="59"/>
        <v>6614.2003199999999</v>
      </c>
      <c r="G82" s="266">
        <f t="shared" si="22"/>
        <v>1058.2720512000001</v>
      </c>
      <c r="H82" s="266">
        <f t="shared" si="23"/>
        <v>2362.2143999999998</v>
      </c>
      <c r="I82" s="266">
        <f t="shared" si="24"/>
        <v>1301.5801344000001</v>
      </c>
      <c r="J82" s="435"/>
      <c r="K82" s="317">
        <f t="shared" si="25"/>
        <v>0</v>
      </c>
      <c r="L82" s="317">
        <f t="shared" si="71"/>
        <v>0</v>
      </c>
      <c r="M82" s="317">
        <f t="shared" si="27"/>
        <v>0</v>
      </c>
      <c r="N82" s="347">
        <f t="shared" si="28"/>
        <v>0</v>
      </c>
      <c r="O82" s="267">
        <f t="shared" si="53"/>
        <v>104</v>
      </c>
      <c r="P82" s="264">
        <f t="shared" si="29"/>
        <v>105</v>
      </c>
      <c r="Q82" s="265">
        <f t="shared" si="30"/>
        <v>58498.891012984895</v>
      </c>
      <c r="R82" s="266">
        <f t="shared" si="31"/>
        <v>44706.588979905595</v>
      </c>
      <c r="S82" s="266">
        <f t="shared" si="32"/>
        <v>8047.1860163830079</v>
      </c>
      <c r="T82" s="266">
        <f t="shared" si="33"/>
        <v>1287.5497626212814</v>
      </c>
      <c r="U82" s="266">
        <f t="shared" si="34"/>
        <v>2873.995005851074</v>
      </c>
      <c r="V82" s="266">
        <f t="shared" si="35"/>
        <v>1583.5712482239419</v>
      </c>
      <c r="W82" s="435"/>
      <c r="X82" s="317">
        <f t="shared" si="2"/>
        <v>0</v>
      </c>
      <c r="Y82" s="317">
        <f t="shared" si="3"/>
        <v>0</v>
      </c>
      <c r="Z82" s="317">
        <f t="shared" si="4"/>
        <v>0</v>
      </c>
      <c r="AA82" s="347">
        <f t="shared" si="36"/>
        <v>0</v>
      </c>
      <c r="AB82" s="309"/>
      <c r="AC82" s="132"/>
      <c r="AD82" s="136"/>
      <c r="AE82" s="136"/>
      <c r="AF82" s="132"/>
      <c r="AG82" s="13">
        <f t="shared" si="37"/>
        <v>44</v>
      </c>
      <c r="AH82" s="14">
        <f t="shared" si="72"/>
        <v>5574967.8558</v>
      </c>
      <c r="AI82" s="44">
        <f t="shared" si="44"/>
        <v>45</v>
      </c>
      <c r="AJ82" s="55">
        <f t="shared" si="73"/>
        <v>4724428.7999999998</v>
      </c>
      <c r="AK82" s="59">
        <v>8</v>
      </c>
      <c r="AL82" s="44">
        <f t="shared" si="46"/>
        <v>45</v>
      </c>
      <c r="AM82" s="45">
        <f t="shared" si="39"/>
        <v>48081.824238933325</v>
      </c>
      <c r="AN82" s="44">
        <f t="shared" si="54"/>
        <v>105</v>
      </c>
      <c r="AO82" s="45">
        <f t="shared" si="5"/>
        <v>58498.891012984895</v>
      </c>
      <c r="AP82" s="3"/>
      <c r="AQ82" s="46">
        <f t="shared" si="47"/>
        <v>45</v>
      </c>
      <c r="AR82" s="47">
        <f t="shared" si="40"/>
        <v>33919.299037866665</v>
      </c>
      <c r="AS82" s="46">
        <f t="shared" si="55"/>
        <v>105</v>
      </c>
      <c r="AT82" s="47">
        <f t="shared" si="6"/>
        <v>41268.013621794002</v>
      </c>
      <c r="AV82" s="41">
        <f t="shared" si="7"/>
        <v>0</v>
      </c>
      <c r="AW82" s="41">
        <f t="shared" si="8"/>
        <v>0</v>
      </c>
      <c r="AX82" s="43">
        <f t="shared" si="9"/>
        <v>0</v>
      </c>
      <c r="AY82" s="43">
        <f t="shared" si="10"/>
        <v>0</v>
      </c>
      <c r="AZ82" s="11"/>
      <c r="BA82" s="36">
        <f t="shared" si="68"/>
        <v>45</v>
      </c>
      <c r="BB82" s="35">
        <f t="shared" si="57"/>
        <v>48081.824238933325</v>
      </c>
      <c r="BC82" s="120"/>
      <c r="BD82" s="307">
        <f t="shared" si="69"/>
        <v>45</v>
      </c>
      <c r="BE82" s="303">
        <f t="shared" si="70"/>
        <v>33919.299037866665</v>
      </c>
      <c r="BF82" s="208"/>
      <c r="BG82" s="37">
        <f t="shared" si="50"/>
        <v>45</v>
      </c>
      <c r="BH82" s="8">
        <f t="shared" si="66"/>
        <v>383.62361855999995</v>
      </c>
      <c r="BI82" s="8"/>
      <c r="BJ82" s="37">
        <f t="shared" si="51"/>
        <v>45</v>
      </c>
      <c r="BK82" s="8">
        <f t="shared" si="13"/>
        <v>0</v>
      </c>
      <c r="BL82" s="8"/>
      <c r="BM82" s="4">
        <v>44</v>
      </c>
      <c r="BN82" s="14">
        <f t="shared" si="14"/>
        <v>30972.043643333334</v>
      </c>
      <c r="BO82" s="14">
        <f t="shared" si="15"/>
        <v>7804.9549981199998</v>
      </c>
      <c r="BP82" s="14">
        <f t="shared" si="42"/>
        <v>1248.7927996992</v>
      </c>
      <c r="BQ82" s="14">
        <f t="shared" si="16"/>
        <v>2787.4839279000003</v>
      </c>
      <c r="BR82" s="38">
        <f t="shared" si="67"/>
        <v>42813.275369052535</v>
      </c>
      <c r="BT82" s="4">
        <v>44</v>
      </c>
      <c r="BU82" s="14">
        <f>SUM(BN$39:BN82)</f>
        <v>1173680.6291466663</v>
      </c>
      <c r="BV82" s="14">
        <f>SUM(BO$39:BO82)</f>
        <v>295767.51854496018</v>
      </c>
      <c r="BW82" s="14">
        <f>SUM(BP$39:BP82)</f>
        <v>47322.802967193616</v>
      </c>
      <c r="BX82" s="14">
        <f>SUM(BQ$39:BQ82)</f>
        <v>105631.25662320005</v>
      </c>
      <c r="BY82" s="21">
        <f>SUM(BR$39:BR82)</f>
        <v>1622402.2072820195</v>
      </c>
    </row>
    <row r="83" spans="1:77" ht="18" customHeight="1" x14ac:dyDescent="0.25">
      <c r="A83" s="268"/>
      <c r="B83" s="267">
        <f t="shared" si="52"/>
        <v>45</v>
      </c>
      <c r="C83" s="264">
        <f t="shared" si="43"/>
        <v>46</v>
      </c>
      <c r="D83" s="265">
        <f t="shared" si="19"/>
        <v>48081.824238933325</v>
      </c>
      <c r="E83" s="266">
        <f t="shared" si="20"/>
        <v>36745.55733333333</v>
      </c>
      <c r="F83" s="266">
        <f t="shared" si="59"/>
        <v>6614.2003199999999</v>
      </c>
      <c r="G83" s="266">
        <f t="shared" si="22"/>
        <v>1058.2720512000001</v>
      </c>
      <c r="H83" s="266">
        <f t="shared" si="23"/>
        <v>2362.2143999999998</v>
      </c>
      <c r="I83" s="266">
        <f t="shared" si="24"/>
        <v>1301.5801344000001</v>
      </c>
      <c r="J83" s="435"/>
      <c r="K83" s="317">
        <f t="shared" si="25"/>
        <v>0</v>
      </c>
      <c r="L83" s="317">
        <f t="shared" si="71"/>
        <v>0</v>
      </c>
      <c r="M83" s="317">
        <f t="shared" si="27"/>
        <v>0</v>
      </c>
      <c r="N83" s="347">
        <f t="shared" si="28"/>
        <v>0</v>
      </c>
      <c r="O83" s="267">
        <f t="shared" si="53"/>
        <v>105</v>
      </c>
      <c r="P83" s="264">
        <f t="shared" si="29"/>
        <v>106</v>
      </c>
      <c r="Q83" s="265">
        <f t="shared" si="30"/>
        <v>58498.891012984895</v>
      </c>
      <c r="R83" s="266">
        <f t="shared" si="31"/>
        <v>44706.588979905595</v>
      </c>
      <c r="S83" s="266">
        <f t="shared" si="32"/>
        <v>8047.1860163830079</v>
      </c>
      <c r="T83" s="266">
        <f t="shared" si="33"/>
        <v>1287.5497626212814</v>
      </c>
      <c r="U83" s="266">
        <f t="shared" si="34"/>
        <v>2873.995005851074</v>
      </c>
      <c r="V83" s="266">
        <f t="shared" si="35"/>
        <v>1583.5712482239419</v>
      </c>
      <c r="W83" s="435"/>
      <c r="X83" s="317">
        <f t="shared" si="2"/>
        <v>0</v>
      </c>
      <c r="Y83" s="317">
        <f t="shared" si="3"/>
        <v>0</v>
      </c>
      <c r="Z83" s="317">
        <f t="shared" si="4"/>
        <v>0</v>
      </c>
      <c r="AA83" s="347">
        <f t="shared" si="36"/>
        <v>0</v>
      </c>
      <c r="AB83" s="309"/>
      <c r="AC83" s="132"/>
      <c r="AD83" s="136"/>
      <c r="AE83" s="136"/>
      <c r="AF83" s="132"/>
      <c r="AG83" s="13">
        <f t="shared" si="37"/>
        <v>45</v>
      </c>
      <c r="AH83" s="14">
        <f t="shared" si="72"/>
        <v>5574967.8558</v>
      </c>
      <c r="AI83" s="44">
        <f t="shared" si="44"/>
        <v>46</v>
      </c>
      <c r="AJ83" s="55">
        <f t="shared" si="73"/>
        <v>4724428.7999999998</v>
      </c>
      <c r="AK83" s="59">
        <v>9</v>
      </c>
      <c r="AL83" s="44">
        <f t="shared" si="46"/>
        <v>46</v>
      </c>
      <c r="AM83" s="45">
        <f t="shared" si="39"/>
        <v>48081.824238933325</v>
      </c>
      <c r="AN83" s="44">
        <f t="shared" si="54"/>
        <v>106</v>
      </c>
      <c r="AO83" s="45">
        <f t="shared" si="5"/>
        <v>58498.891012984895</v>
      </c>
      <c r="AP83" s="3"/>
      <c r="AQ83" s="46">
        <f t="shared" si="47"/>
        <v>46</v>
      </c>
      <c r="AR83" s="47">
        <f t="shared" si="40"/>
        <v>33919.299037866665</v>
      </c>
      <c r="AS83" s="46">
        <f t="shared" si="55"/>
        <v>106</v>
      </c>
      <c r="AT83" s="47">
        <f t="shared" si="6"/>
        <v>41268.013621794002</v>
      </c>
      <c r="AV83" s="41">
        <f t="shared" si="7"/>
        <v>0</v>
      </c>
      <c r="AW83" s="41">
        <f t="shared" si="8"/>
        <v>0</v>
      </c>
      <c r="AX83" s="43">
        <f t="shared" si="9"/>
        <v>0</v>
      </c>
      <c r="AY83" s="43">
        <f t="shared" si="10"/>
        <v>0</v>
      </c>
      <c r="AZ83" s="11"/>
      <c r="BA83" s="36">
        <f t="shared" si="68"/>
        <v>46</v>
      </c>
      <c r="BB83" s="35">
        <f t="shared" ref="BB83:BB114" si="74">SUM(VLOOKUP(BA83,$AI$39:$AJ$158,2,0)/$B$10*$K$30,VLOOKUP(BA83,$AI$39:$AJ$158,2,0)*($G$15*(100%-$BB$31+$BB$29))*1.16,VLOOKUP(BA83,$AI$39:$AJ$158,2,0)*$I$15,VLOOKUP(BA83,$AI$39:$AJ$158,2,0)*$J$15)</f>
        <v>48081.824238933325</v>
      </c>
      <c r="BC83" s="120"/>
      <c r="BD83" s="307">
        <f t="shared" si="69"/>
        <v>46</v>
      </c>
      <c r="BE83" s="303">
        <f t="shared" si="70"/>
        <v>33919.299037866665</v>
      </c>
      <c r="BF83" s="208"/>
      <c r="BG83" s="37">
        <f t="shared" si="50"/>
        <v>46</v>
      </c>
      <c r="BH83" s="8">
        <f t="shared" si="66"/>
        <v>383.62361855999995</v>
      </c>
      <c r="BI83" s="8"/>
      <c r="BJ83" s="37">
        <f t="shared" si="51"/>
        <v>46</v>
      </c>
      <c r="BK83" s="8">
        <f t="shared" si="13"/>
        <v>0</v>
      </c>
      <c r="BL83" s="8"/>
      <c r="BM83" s="4">
        <v>45</v>
      </c>
      <c r="BN83" s="14">
        <f t="shared" si="14"/>
        <v>30972.043643333334</v>
      </c>
      <c r="BO83" s="14">
        <f t="shared" si="15"/>
        <v>7804.9549981199998</v>
      </c>
      <c r="BP83" s="14">
        <f t="shared" si="42"/>
        <v>1248.7927996992</v>
      </c>
      <c r="BQ83" s="14">
        <f t="shared" si="16"/>
        <v>2787.4839279000003</v>
      </c>
      <c r="BR83" s="38">
        <f t="shared" si="67"/>
        <v>42813.275369052535</v>
      </c>
      <c r="BT83" s="4">
        <v>45</v>
      </c>
      <c r="BU83" s="14">
        <f>SUM(BN$39:BN83)</f>
        <v>1204652.6727899995</v>
      </c>
      <c r="BV83" s="14">
        <f>SUM(BO$39:BO83)</f>
        <v>303572.47354308021</v>
      </c>
      <c r="BW83" s="14">
        <f>SUM(BP$39:BP83)</f>
        <v>48571.595766892817</v>
      </c>
      <c r="BX83" s="14">
        <f>SUM(BQ$39:BQ83)</f>
        <v>108418.74055110005</v>
      </c>
      <c r="BY83" s="21">
        <f>SUM(BR$39:BR83)</f>
        <v>1665215.4826510721</v>
      </c>
    </row>
    <row r="84" spans="1:77" ht="18" customHeight="1" x14ac:dyDescent="0.25">
      <c r="A84" s="268"/>
      <c r="B84" s="267">
        <f t="shared" si="52"/>
        <v>46</v>
      </c>
      <c r="C84" s="264">
        <f t="shared" si="43"/>
        <v>47</v>
      </c>
      <c r="D84" s="265">
        <f t="shared" si="19"/>
        <v>48081.824238933325</v>
      </c>
      <c r="E84" s="266">
        <f t="shared" si="20"/>
        <v>36745.55733333333</v>
      </c>
      <c r="F84" s="266">
        <f t="shared" si="59"/>
        <v>6614.2003199999999</v>
      </c>
      <c r="G84" s="266">
        <f t="shared" si="22"/>
        <v>1058.2720512000001</v>
      </c>
      <c r="H84" s="266">
        <f t="shared" si="23"/>
        <v>2362.2143999999998</v>
      </c>
      <c r="I84" s="266">
        <f t="shared" si="24"/>
        <v>1301.5801344000001</v>
      </c>
      <c r="J84" s="435"/>
      <c r="K84" s="317">
        <f t="shared" si="25"/>
        <v>0</v>
      </c>
      <c r="L84" s="317">
        <f t="shared" si="71"/>
        <v>0</v>
      </c>
      <c r="M84" s="317">
        <f t="shared" si="27"/>
        <v>0</v>
      </c>
      <c r="N84" s="347">
        <f t="shared" si="28"/>
        <v>0</v>
      </c>
      <c r="O84" s="267">
        <f t="shared" si="53"/>
        <v>106</v>
      </c>
      <c r="P84" s="264">
        <f t="shared" si="29"/>
        <v>107</v>
      </c>
      <c r="Q84" s="265">
        <f t="shared" si="30"/>
        <v>58498.891012984895</v>
      </c>
      <c r="R84" s="266">
        <f t="shared" si="31"/>
        <v>44706.588979905595</v>
      </c>
      <c r="S84" s="266">
        <f t="shared" si="32"/>
        <v>8047.1860163830079</v>
      </c>
      <c r="T84" s="266">
        <f t="shared" si="33"/>
        <v>1287.5497626212814</v>
      </c>
      <c r="U84" s="266">
        <f t="shared" si="34"/>
        <v>2873.995005851074</v>
      </c>
      <c r="V84" s="266">
        <f t="shared" si="35"/>
        <v>1583.5712482239419</v>
      </c>
      <c r="W84" s="435"/>
      <c r="X84" s="317">
        <f t="shared" si="2"/>
        <v>0</v>
      </c>
      <c r="Y84" s="317">
        <f t="shared" si="3"/>
        <v>0</v>
      </c>
      <c r="Z84" s="317">
        <f t="shared" si="4"/>
        <v>0</v>
      </c>
      <c r="AA84" s="347">
        <f t="shared" si="36"/>
        <v>0</v>
      </c>
      <c r="AB84" s="309"/>
      <c r="AC84" s="132"/>
      <c r="AD84" s="136"/>
      <c r="AE84" s="136"/>
      <c r="AF84" s="132"/>
      <c r="AG84" s="13">
        <f t="shared" si="37"/>
        <v>46</v>
      </c>
      <c r="AH84" s="14">
        <f t="shared" si="72"/>
        <v>5574967.8558</v>
      </c>
      <c r="AI84" s="44">
        <f t="shared" si="44"/>
        <v>47</v>
      </c>
      <c r="AJ84" s="55">
        <f t="shared" si="73"/>
        <v>4724428.7999999998</v>
      </c>
      <c r="AK84" s="59">
        <v>10</v>
      </c>
      <c r="AL84" s="44">
        <f t="shared" si="46"/>
        <v>47</v>
      </c>
      <c r="AM84" s="45">
        <f t="shared" si="39"/>
        <v>48081.824238933325</v>
      </c>
      <c r="AN84" s="44">
        <f t="shared" si="54"/>
        <v>107</v>
      </c>
      <c r="AO84" s="45">
        <f t="shared" si="5"/>
        <v>58498.891012984895</v>
      </c>
      <c r="AP84" s="3"/>
      <c r="AQ84" s="46">
        <f t="shared" si="47"/>
        <v>47</v>
      </c>
      <c r="AR84" s="47">
        <f t="shared" si="40"/>
        <v>33919.299037866665</v>
      </c>
      <c r="AS84" s="46">
        <f t="shared" si="55"/>
        <v>107</v>
      </c>
      <c r="AT84" s="47">
        <f t="shared" si="6"/>
        <v>41268.013621794002</v>
      </c>
      <c r="AV84" s="41">
        <f t="shared" si="7"/>
        <v>0</v>
      </c>
      <c r="AW84" s="41">
        <f t="shared" si="8"/>
        <v>0</v>
      </c>
      <c r="AX84" s="43">
        <f t="shared" si="9"/>
        <v>0</v>
      </c>
      <c r="AY84" s="43">
        <f t="shared" si="10"/>
        <v>0</v>
      </c>
      <c r="AZ84" s="11"/>
      <c r="BA84" s="36">
        <f t="shared" si="68"/>
        <v>47</v>
      </c>
      <c r="BB84" s="35">
        <f t="shared" si="74"/>
        <v>48081.824238933325</v>
      </c>
      <c r="BC84" s="120"/>
      <c r="BD84" s="307">
        <f t="shared" si="69"/>
        <v>47</v>
      </c>
      <c r="BE84" s="303">
        <f t="shared" si="70"/>
        <v>33919.299037866665</v>
      </c>
      <c r="BF84" s="208"/>
      <c r="BG84" s="37">
        <f t="shared" si="50"/>
        <v>47</v>
      </c>
      <c r="BH84" s="8">
        <f t="shared" si="66"/>
        <v>383.62361855999995</v>
      </c>
      <c r="BI84" s="8"/>
      <c r="BJ84" s="37">
        <f t="shared" si="51"/>
        <v>47</v>
      </c>
      <c r="BK84" s="8">
        <f t="shared" si="13"/>
        <v>0</v>
      </c>
      <c r="BL84" s="8"/>
      <c r="BM84" s="4">
        <v>46</v>
      </c>
      <c r="BN84" s="14">
        <f t="shared" si="14"/>
        <v>30972.043643333334</v>
      </c>
      <c r="BO84" s="14">
        <f t="shared" si="15"/>
        <v>7804.9549981199998</v>
      </c>
      <c r="BP84" s="14">
        <f t="shared" si="42"/>
        <v>1248.7927996992</v>
      </c>
      <c r="BQ84" s="14">
        <f t="shared" si="16"/>
        <v>2787.4839279000003</v>
      </c>
      <c r="BR84" s="38">
        <f t="shared" si="67"/>
        <v>42813.275369052535</v>
      </c>
      <c r="BT84" s="4">
        <v>46</v>
      </c>
      <c r="BU84" s="14">
        <f>SUM(BN$39:BN84)</f>
        <v>1235624.7164333328</v>
      </c>
      <c r="BV84" s="14">
        <f>SUM(BO$39:BO84)</f>
        <v>311377.42854120024</v>
      </c>
      <c r="BW84" s="14">
        <f>SUM(BP$39:BP84)</f>
        <v>49820.388566592017</v>
      </c>
      <c r="BX84" s="14">
        <f>SUM(BQ$39:BQ84)</f>
        <v>111206.22447900005</v>
      </c>
      <c r="BY84" s="21">
        <f>SUM(BR$39:BR84)</f>
        <v>1708028.7580201246</v>
      </c>
    </row>
    <row r="85" spans="1:77" ht="18" customHeight="1" x14ac:dyDescent="0.25">
      <c r="A85" s="268"/>
      <c r="B85" s="267">
        <f t="shared" si="52"/>
        <v>47</v>
      </c>
      <c r="C85" s="264">
        <f t="shared" si="43"/>
        <v>48</v>
      </c>
      <c r="D85" s="265">
        <f t="shared" si="19"/>
        <v>48081.824238933325</v>
      </c>
      <c r="E85" s="266">
        <f t="shared" si="20"/>
        <v>36745.55733333333</v>
      </c>
      <c r="F85" s="266">
        <f t="shared" si="59"/>
        <v>6614.2003199999999</v>
      </c>
      <c r="G85" s="266">
        <f t="shared" si="22"/>
        <v>1058.2720512000001</v>
      </c>
      <c r="H85" s="266">
        <f t="shared" si="23"/>
        <v>2362.2143999999998</v>
      </c>
      <c r="I85" s="266">
        <f t="shared" si="24"/>
        <v>1301.5801344000001</v>
      </c>
      <c r="J85" s="435"/>
      <c r="K85" s="317">
        <f t="shared" si="25"/>
        <v>0</v>
      </c>
      <c r="L85" s="317">
        <f t="shared" si="71"/>
        <v>0</v>
      </c>
      <c r="M85" s="317">
        <f t="shared" si="27"/>
        <v>0</v>
      </c>
      <c r="N85" s="347">
        <f t="shared" si="28"/>
        <v>0</v>
      </c>
      <c r="O85" s="267">
        <f t="shared" si="53"/>
        <v>107</v>
      </c>
      <c r="P85" s="264">
        <f t="shared" si="29"/>
        <v>108</v>
      </c>
      <c r="Q85" s="265">
        <f t="shared" si="30"/>
        <v>58498.891012984895</v>
      </c>
      <c r="R85" s="266">
        <f t="shared" si="31"/>
        <v>44706.588979905595</v>
      </c>
      <c r="S85" s="266">
        <f t="shared" si="32"/>
        <v>8047.1860163830079</v>
      </c>
      <c r="T85" s="266">
        <f t="shared" si="33"/>
        <v>1287.5497626212814</v>
      </c>
      <c r="U85" s="266">
        <f t="shared" si="34"/>
        <v>2873.995005851074</v>
      </c>
      <c r="V85" s="266">
        <f t="shared" si="35"/>
        <v>1583.5712482239419</v>
      </c>
      <c r="W85" s="435"/>
      <c r="X85" s="317">
        <f t="shared" si="2"/>
        <v>0</v>
      </c>
      <c r="Y85" s="317">
        <f t="shared" si="3"/>
        <v>0</v>
      </c>
      <c r="Z85" s="317">
        <f t="shared" si="4"/>
        <v>0</v>
      </c>
      <c r="AA85" s="347">
        <f t="shared" si="36"/>
        <v>0</v>
      </c>
      <c r="AB85" s="309"/>
      <c r="AC85" s="136"/>
      <c r="AD85" s="136"/>
      <c r="AE85" s="136"/>
      <c r="AF85" s="132"/>
      <c r="AG85" s="13">
        <f t="shared" si="37"/>
        <v>47</v>
      </c>
      <c r="AH85" s="14">
        <f t="shared" si="72"/>
        <v>5574967.8558</v>
      </c>
      <c r="AI85" s="44">
        <f t="shared" si="44"/>
        <v>48</v>
      </c>
      <c r="AJ85" s="55">
        <f t="shared" si="73"/>
        <v>4724428.7999999998</v>
      </c>
      <c r="AK85" s="59">
        <v>11</v>
      </c>
      <c r="AL85" s="44">
        <f t="shared" si="46"/>
        <v>48</v>
      </c>
      <c r="AM85" s="45">
        <f t="shared" si="39"/>
        <v>48081.824238933325</v>
      </c>
      <c r="AN85" s="44">
        <f t="shared" si="54"/>
        <v>108</v>
      </c>
      <c r="AO85" s="45">
        <f t="shared" si="5"/>
        <v>58498.891012984895</v>
      </c>
      <c r="AP85" s="3"/>
      <c r="AQ85" s="46">
        <f t="shared" si="47"/>
        <v>48</v>
      </c>
      <c r="AR85" s="47">
        <f t="shared" si="40"/>
        <v>33919.299037866665</v>
      </c>
      <c r="AS85" s="46">
        <f t="shared" si="55"/>
        <v>108</v>
      </c>
      <c r="AT85" s="47">
        <f t="shared" si="6"/>
        <v>41268.013621794002</v>
      </c>
      <c r="AV85" s="41">
        <f t="shared" si="7"/>
        <v>0</v>
      </c>
      <c r="AW85" s="41">
        <f t="shared" si="8"/>
        <v>0</v>
      </c>
      <c r="AX85" s="43">
        <f t="shared" si="9"/>
        <v>0</v>
      </c>
      <c r="AY85" s="43">
        <f t="shared" si="10"/>
        <v>0</v>
      </c>
      <c r="AZ85" s="11"/>
      <c r="BA85" s="36">
        <f t="shared" si="68"/>
        <v>48</v>
      </c>
      <c r="BB85" s="35">
        <f t="shared" si="74"/>
        <v>48081.824238933325</v>
      </c>
      <c r="BC85" s="120"/>
      <c r="BD85" s="307">
        <f t="shared" si="69"/>
        <v>48</v>
      </c>
      <c r="BE85" s="303">
        <f t="shared" si="70"/>
        <v>33919.299037866665</v>
      </c>
      <c r="BF85" s="208"/>
      <c r="BG85" s="37">
        <f t="shared" si="50"/>
        <v>48</v>
      </c>
      <c r="BH85" s="8">
        <f t="shared" si="66"/>
        <v>383.62361855999995</v>
      </c>
      <c r="BI85" s="8"/>
      <c r="BJ85" s="37">
        <f t="shared" si="51"/>
        <v>48</v>
      </c>
      <c r="BK85" s="8">
        <f t="shared" si="13"/>
        <v>0</v>
      </c>
      <c r="BL85" s="8"/>
      <c r="BM85" s="4">
        <v>47</v>
      </c>
      <c r="BN85" s="14">
        <f t="shared" si="14"/>
        <v>30972.043643333334</v>
      </c>
      <c r="BO85" s="14">
        <f t="shared" si="15"/>
        <v>7804.9549981199998</v>
      </c>
      <c r="BP85" s="14">
        <f t="shared" si="42"/>
        <v>1248.7927996992</v>
      </c>
      <c r="BQ85" s="14">
        <f t="shared" si="16"/>
        <v>2787.4839279000003</v>
      </c>
      <c r="BR85" s="38">
        <f t="shared" si="67"/>
        <v>42813.275369052535</v>
      </c>
      <c r="BT85" s="4">
        <v>47</v>
      </c>
      <c r="BU85" s="14">
        <f>SUM(BN$39:BN85)</f>
        <v>1266596.760076666</v>
      </c>
      <c r="BV85" s="14">
        <f>SUM(BO$39:BO85)</f>
        <v>319182.38353932026</v>
      </c>
      <c r="BW85" s="14">
        <f>SUM(BP$39:BP85)</f>
        <v>51069.181366291217</v>
      </c>
      <c r="BX85" s="14">
        <f>SUM(BQ$39:BQ85)</f>
        <v>113993.70840690006</v>
      </c>
      <c r="BY85" s="21">
        <f>SUM(BR$39:BR85)</f>
        <v>1750842.0333891772</v>
      </c>
    </row>
    <row r="86" spans="1:77" ht="18" customHeight="1" x14ac:dyDescent="0.25">
      <c r="A86" s="268"/>
      <c r="B86" s="267">
        <f t="shared" si="52"/>
        <v>48</v>
      </c>
      <c r="C86" s="264">
        <f t="shared" si="43"/>
        <v>49</v>
      </c>
      <c r="D86" s="265">
        <f t="shared" si="19"/>
        <v>48081.824238933325</v>
      </c>
      <c r="E86" s="266">
        <f t="shared" si="20"/>
        <v>36745.55733333333</v>
      </c>
      <c r="F86" s="266">
        <f t="shared" si="59"/>
        <v>6614.2003199999999</v>
      </c>
      <c r="G86" s="266">
        <f t="shared" si="22"/>
        <v>1058.2720512000001</v>
      </c>
      <c r="H86" s="266">
        <f t="shared" si="23"/>
        <v>2362.2143999999998</v>
      </c>
      <c r="I86" s="266">
        <f t="shared" si="24"/>
        <v>1301.5801344000001</v>
      </c>
      <c r="J86" s="435"/>
      <c r="K86" s="317">
        <f t="shared" si="25"/>
        <v>0</v>
      </c>
      <c r="L86" s="317">
        <f t="shared" si="71"/>
        <v>0</v>
      </c>
      <c r="M86" s="317">
        <f t="shared" si="27"/>
        <v>0</v>
      </c>
      <c r="N86" s="347">
        <f t="shared" si="28"/>
        <v>0</v>
      </c>
      <c r="O86" s="267">
        <f t="shared" si="53"/>
        <v>108</v>
      </c>
      <c r="P86" s="264">
        <f t="shared" si="29"/>
        <v>109</v>
      </c>
      <c r="Q86" s="265">
        <f t="shared" si="30"/>
        <v>58498.891012984895</v>
      </c>
      <c r="R86" s="266">
        <f t="shared" si="31"/>
        <v>44706.588979905595</v>
      </c>
      <c r="S86" s="266">
        <f t="shared" si="32"/>
        <v>8047.1860163830079</v>
      </c>
      <c r="T86" s="266">
        <f t="shared" si="33"/>
        <v>1287.5497626212814</v>
      </c>
      <c r="U86" s="266">
        <f t="shared" si="34"/>
        <v>2873.995005851074</v>
      </c>
      <c r="V86" s="266">
        <f t="shared" si="35"/>
        <v>1583.5712482239419</v>
      </c>
      <c r="W86" s="435"/>
      <c r="X86" s="317">
        <f t="shared" si="2"/>
        <v>0</v>
      </c>
      <c r="Y86" s="317">
        <f t="shared" si="3"/>
        <v>0</v>
      </c>
      <c r="Z86" s="317">
        <f t="shared" si="4"/>
        <v>0</v>
      </c>
      <c r="AA86" s="347">
        <f t="shared" si="36"/>
        <v>0</v>
      </c>
      <c r="AB86" s="309"/>
      <c r="AC86" s="132"/>
      <c r="AD86" s="136"/>
      <c r="AE86" s="136"/>
      <c r="AF86" s="136"/>
      <c r="AG86" s="13">
        <f t="shared" si="37"/>
        <v>48</v>
      </c>
      <c r="AH86" s="14">
        <f t="shared" si="72"/>
        <v>5574967.8558</v>
      </c>
      <c r="AI86" s="44">
        <f t="shared" si="44"/>
        <v>49</v>
      </c>
      <c r="AJ86" s="55">
        <f t="shared" si="73"/>
        <v>4724428.7999999998</v>
      </c>
      <c r="AK86" s="59">
        <v>12</v>
      </c>
      <c r="AL86" s="44">
        <f t="shared" si="46"/>
        <v>49</v>
      </c>
      <c r="AM86" s="45">
        <f t="shared" si="39"/>
        <v>48081.824238933325</v>
      </c>
      <c r="AN86" s="44">
        <f t="shared" si="54"/>
        <v>109</v>
      </c>
      <c r="AO86" s="45">
        <f t="shared" si="5"/>
        <v>58498.891012984895</v>
      </c>
      <c r="AP86" s="3"/>
      <c r="AQ86" s="46">
        <f t="shared" si="47"/>
        <v>49</v>
      </c>
      <c r="AR86" s="47">
        <f t="shared" si="40"/>
        <v>33919.299037866665</v>
      </c>
      <c r="AS86" s="46">
        <f t="shared" si="55"/>
        <v>109</v>
      </c>
      <c r="AT86" s="47">
        <f t="shared" si="6"/>
        <v>41268.013621794002</v>
      </c>
      <c r="AV86" s="41">
        <f t="shared" si="7"/>
        <v>0</v>
      </c>
      <c r="AW86" s="41">
        <f t="shared" si="8"/>
        <v>0</v>
      </c>
      <c r="AX86" s="43">
        <f t="shared" si="9"/>
        <v>0</v>
      </c>
      <c r="AY86" s="43">
        <f t="shared" si="10"/>
        <v>0</v>
      </c>
      <c r="AZ86" s="11"/>
      <c r="BA86" s="36">
        <f t="shared" si="68"/>
        <v>49</v>
      </c>
      <c r="BB86" s="35">
        <f t="shared" si="74"/>
        <v>48081.824238933325</v>
      </c>
      <c r="BC86" s="120"/>
      <c r="BD86" s="307">
        <f t="shared" si="69"/>
        <v>49</v>
      </c>
      <c r="BE86" s="303">
        <f t="shared" si="70"/>
        <v>33919.299037866665</v>
      </c>
      <c r="BF86" s="208"/>
      <c r="BG86" s="37">
        <f t="shared" si="50"/>
        <v>49</v>
      </c>
      <c r="BH86" s="8">
        <f t="shared" si="66"/>
        <v>383.62361855999995</v>
      </c>
      <c r="BI86" s="8"/>
      <c r="BJ86" s="37">
        <f t="shared" si="51"/>
        <v>49</v>
      </c>
      <c r="BK86" s="8">
        <f t="shared" si="13"/>
        <v>0</v>
      </c>
      <c r="BL86" s="8"/>
      <c r="BM86" s="4">
        <v>48</v>
      </c>
      <c r="BN86" s="14">
        <f t="shared" si="14"/>
        <v>30972.043643333334</v>
      </c>
      <c r="BO86" s="14">
        <f t="shared" si="15"/>
        <v>7804.9549981199998</v>
      </c>
      <c r="BP86" s="14">
        <f t="shared" si="42"/>
        <v>1248.7927996992</v>
      </c>
      <c r="BQ86" s="14">
        <f t="shared" si="16"/>
        <v>2787.4839279000003</v>
      </c>
      <c r="BR86" s="38">
        <f t="shared" si="67"/>
        <v>42813.275369052535</v>
      </c>
      <c r="BT86" s="4">
        <v>48</v>
      </c>
      <c r="BU86" s="14">
        <f>SUM(BN$39:BN86)</f>
        <v>1297568.8037199993</v>
      </c>
      <c r="BV86" s="14">
        <f>SUM(BO$39:BO86)</f>
        <v>326987.33853744029</v>
      </c>
      <c r="BW86" s="14">
        <f>SUM(BP$39:BP86)</f>
        <v>52317.974165990418</v>
      </c>
      <c r="BX86" s="14">
        <f>SUM(BQ$39:BQ86)</f>
        <v>116781.19233480006</v>
      </c>
      <c r="BY86" s="21">
        <f>SUM(BR$39:BR86)</f>
        <v>1793655.3087582297</v>
      </c>
    </row>
    <row r="87" spans="1:77" ht="18" customHeight="1" x14ac:dyDescent="0.25">
      <c r="A87" s="268"/>
      <c r="B87" s="267">
        <f t="shared" si="52"/>
        <v>49</v>
      </c>
      <c r="C87" s="264">
        <f t="shared" si="43"/>
        <v>50</v>
      </c>
      <c r="D87" s="265">
        <f t="shared" si="19"/>
        <v>50005.097208490661</v>
      </c>
      <c r="E87" s="266">
        <f t="shared" si="20"/>
        <v>38215.379626666661</v>
      </c>
      <c r="F87" s="266">
        <f t="shared" si="59"/>
        <v>6878.7683327999994</v>
      </c>
      <c r="G87" s="266">
        <f t="shared" si="22"/>
        <v>1100.602933248</v>
      </c>
      <c r="H87" s="266">
        <f t="shared" si="23"/>
        <v>2456.702976</v>
      </c>
      <c r="I87" s="266">
        <f t="shared" si="24"/>
        <v>1353.6433397759999</v>
      </c>
      <c r="J87" s="435">
        <f>'Resumen Flex'!K40</f>
        <v>0</v>
      </c>
      <c r="K87" s="317">
        <f t="shared" si="25"/>
        <v>0</v>
      </c>
      <c r="L87" s="317">
        <f t="shared" si="71"/>
        <v>0</v>
      </c>
      <c r="M87" s="317">
        <f t="shared" si="27"/>
        <v>0</v>
      </c>
      <c r="N87" s="347">
        <f t="shared" si="28"/>
        <v>0</v>
      </c>
      <c r="O87" s="267">
        <f t="shared" si="53"/>
        <v>109</v>
      </c>
      <c r="P87" s="264">
        <f t="shared" ref="P87:P91" si="75">IF(Q87=0,0,IF(P86&gt;=180,0,IF(P86=0,0,P86+1)))</f>
        <v>110</v>
      </c>
      <c r="Q87" s="265">
        <f t="shared" si="30"/>
        <v>60838.846653504297</v>
      </c>
      <c r="R87" s="266">
        <f t="shared" si="31"/>
        <v>46494.852539101819</v>
      </c>
      <c r="S87" s="266">
        <f t="shared" si="32"/>
        <v>8369.0734570383283</v>
      </c>
      <c r="T87" s="266">
        <f t="shared" si="33"/>
        <v>1339.0517531261326</v>
      </c>
      <c r="U87" s="266">
        <f t="shared" si="34"/>
        <v>2988.9548060851171</v>
      </c>
      <c r="V87" s="266">
        <f t="shared" si="35"/>
        <v>1646.9140981528997</v>
      </c>
      <c r="W87" s="435">
        <f>'Resumen Flex'!K45</f>
        <v>0</v>
      </c>
      <c r="X87" s="317">
        <f t="shared" ref="X87:X91" si="76">IF(W87=0,0,($AJ147/$B$10)*$AY87)</f>
        <v>0</v>
      </c>
      <c r="Y87" s="317">
        <f t="shared" ref="Y87:Y91" si="77">IF(W87=0,0,($AJ147*($G$15*(100%-$BE$29))*$AY87))</f>
        <v>0</v>
      </c>
      <c r="Z87" s="317">
        <f t="shared" ref="Z87:Z91" si="78">Y87*0.16</f>
        <v>0</v>
      </c>
      <c r="AA87" s="347">
        <f t="shared" ref="AA87:AA91" si="79">AY87</f>
        <v>0</v>
      </c>
      <c r="AB87" s="309"/>
      <c r="AD87" s="136"/>
      <c r="AF87" s="136"/>
      <c r="AG87" s="13">
        <f t="shared" si="37"/>
        <v>49</v>
      </c>
      <c r="AH87" s="14">
        <f>((AH86)+(AH86*$D$29))</f>
        <v>6126889.6735242</v>
      </c>
      <c r="AI87" s="44">
        <f t="shared" si="44"/>
        <v>50</v>
      </c>
      <c r="AJ87" s="55">
        <f>((AJ86)+(AJ86*$E$29))</f>
        <v>4913405.9519999996</v>
      </c>
      <c r="AK87" s="59">
        <v>1</v>
      </c>
      <c r="AL87" s="44">
        <f t="shared" si="46"/>
        <v>50</v>
      </c>
      <c r="AM87" s="45">
        <f t="shared" si="39"/>
        <v>50005.097208490661</v>
      </c>
      <c r="AN87" s="44">
        <f t="shared" si="54"/>
        <v>110</v>
      </c>
      <c r="AO87" s="45">
        <f t="shared" si="5"/>
        <v>60838.846653504297</v>
      </c>
      <c r="AP87" s="3"/>
      <c r="AQ87" s="46">
        <f t="shared" si="47"/>
        <v>50</v>
      </c>
      <c r="AR87" s="47">
        <f t="shared" si="40"/>
        <v>35276.070999381329</v>
      </c>
      <c r="AS87" s="46">
        <f t="shared" si="55"/>
        <v>110</v>
      </c>
      <c r="AT87" s="47">
        <f t="shared" si="6"/>
        <v>42918.734166665759</v>
      </c>
      <c r="AV87" s="41">
        <f t="shared" si="7"/>
        <v>0</v>
      </c>
      <c r="AW87" s="41">
        <f t="shared" si="8"/>
        <v>0</v>
      </c>
      <c r="AX87" s="43">
        <f t="shared" si="9"/>
        <v>0</v>
      </c>
      <c r="AY87" s="43">
        <f t="shared" si="10"/>
        <v>0</v>
      </c>
      <c r="AZ87" s="11"/>
      <c r="BA87" s="36">
        <f t="shared" si="68"/>
        <v>50</v>
      </c>
      <c r="BB87" s="35">
        <f t="shared" si="74"/>
        <v>50005.097208490661</v>
      </c>
      <c r="BC87" s="120"/>
      <c r="BD87" s="307">
        <f t="shared" si="69"/>
        <v>50</v>
      </c>
      <c r="BE87" s="303">
        <f t="shared" si="70"/>
        <v>35276.070999381329</v>
      </c>
      <c r="BF87" s="208"/>
      <c r="BG87" s="37">
        <f t="shared" si="50"/>
        <v>50</v>
      </c>
      <c r="BH87" s="8">
        <f t="shared" si="66"/>
        <v>398.96856330239996</v>
      </c>
      <c r="BI87" s="8"/>
      <c r="BJ87" s="37">
        <f t="shared" si="51"/>
        <v>50</v>
      </c>
      <c r="BK87" s="8">
        <f t="shared" si="13"/>
        <v>0</v>
      </c>
      <c r="BL87" s="8"/>
      <c r="BM87" s="4">
        <v>49</v>
      </c>
      <c r="BN87" s="14">
        <f t="shared" si="14"/>
        <v>34038.275964023334</v>
      </c>
      <c r="BO87" s="14">
        <f t="shared" si="15"/>
        <v>8577.6455429338803</v>
      </c>
      <c r="BP87" s="14">
        <f t="shared" si="42"/>
        <v>1372.423286869421</v>
      </c>
      <c r="BQ87" s="14">
        <f t="shared" si="16"/>
        <v>3063.4448367620998</v>
      </c>
      <c r="BR87" s="38">
        <f t="shared" si="67"/>
        <v>47051.789630588741</v>
      </c>
      <c r="BT87" s="4">
        <v>49</v>
      </c>
      <c r="BU87" s="14">
        <f>SUM(BN$39:BN87)</f>
        <v>1331607.0796840226</v>
      </c>
      <c r="BV87" s="14">
        <f>SUM(BO$39:BO87)</f>
        <v>335564.98408037418</v>
      </c>
      <c r="BW87" s="14">
        <f>SUM(BP$39:BP87)</f>
        <v>53690.397452859841</v>
      </c>
      <c r="BX87" s="14">
        <f>SUM(BQ$39:BQ87)</f>
        <v>119844.63717156215</v>
      </c>
      <c r="BY87" s="21">
        <f>SUM(BR$39:BR87)</f>
        <v>1840707.0983888186</v>
      </c>
    </row>
    <row r="88" spans="1:77" ht="18" customHeight="1" x14ac:dyDescent="0.25">
      <c r="A88" s="268"/>
      <c r="B88" s="267">
        <f t="shared" si="52"/>
        <v>50</v>
      </c>
      <c r="C88" s="264">
        <f t="shared" si="43"/>
        <v>51</v>
      </c>
      <c r="D88" s="265">
        <f t="shared" si="19"/>
        <v>50005.097208490661</v>
      </c>
      <c r="E88" s="266">
        <f t="shared" si="20"/>
        <v>38215.379626666661</v>
      </c>
      <c r="F88" s="266">
        <f t="shared" si="59"/>
        <v>6878.7683327999994</v>
      </c>
      <c r="G88" s="266">
        <f t="shared" si="22"/>
        <v>1100.602933248</v>
      </c>
      <c r="H88" s="266">
        <f t="shared" si="23"/>
        <v>2456.702976</v>
      </c>
      <c r="I88" s="266">
        <f t="shared" si="24"/>
        <v>1353.6433397759999</v>
      </c>
      <c r="J88" s="435"/>
      <c r="K88" s="317">
        <f t="shared" si="25"/>
        <v>0</v>
      </c>
      <c r="L88" s="317">
        <f t="shared" si="71"/>
        <v>0</v>
      </c>
      <c r="M88" s="317">
        <f t="shared" si="27"/>
        <v>0</v>
      </c>
      <c r="N88" s="347">
        <f t="shared" si="28"/>
        <v>0</v>
      </c>
      <c r="O88" s="267">
        <f t="shared" si="53"/>
        <v>110</v>
      </c>
      <c r="P88" s="264">
        <f>IF(Q88=0,0,IF(P87&gt;=180,0,IF(P87=0,0,P87+1)))</f>
        <v>111</v>
      </c>
      <c r="Q88" s="265">
        <f t="shared" si="30"/>
        <v>60838.846653504297</v>
      </c>
      <c r="R88" s="266">
        <f t="shared" si="31"/>
        <v>46494.852539101819</v>
      </c>
      <c r="S88" s="266">
        <f t="shared" si="32"/>
        <v>8369.0734570383283</v>
      </c>
      <c r="T88" s="266">
        <f t="shared" si="33"/>
        <v>1339.0517531261326</v>
      </c>
      <c r="U88" s="266">
        <f t="shared" si="34"/>
        <v>2988.9548060851171</v>
      </c>
      <c r="V88" s="266">
        <f t="shared" si="35"/>
        <v>1646.9140981528997</v>
      </c>
      <c r="W88" s="316"/>
      <c r="X88" s="317">
        <f t="shared" si="76"/>
        <v>0</v>
      </c>
      <c r="Y88" s="317">
        <f t="shared" si="77"/>
        <v>0</v>
      </c>
      <c r="Z88" s="317">
        <f t="shared" si="78"/>
        <v>0</v>
      </c>
      <c r="AA88" s="347">
        <f t="shared" si="79"/>
        <v>0</v>
      </c>
      <c r="AB88" s="309"/>
      <c r="AC88" s="132"/>
      <c r="AD88" s="136"/>
      <c r="AE88" s="136"/>
      <c r="AF88" s="132"/>
      <c r="AG88" s="13">
        <f t="shared" si="37"/>
        <v>50</v>
      </c>
      <c r="AH88" s="14">
        <f t="shared" ref="AH88:AH98" si="80">AH87</f>
        <v>6126889.6735242</v>
      </c>
      <c r="AI88" s="44">
        <f t="shared" si="44"/>
        <v>51</v>
      </c>
      <c r="AJ88" s="55">
        <f>AJ87</f>
        <v>4913405.9519999996</v>
      </c>
      <c r="AK88" s="59">
        <v>2</v>
      </c>
      <c r="AL88" s="44">
        <f t="shared" si="46"/>
        <v>51</v>
      </c>
      <c r="AM88" s="45">
        <f t="shared" si="39"/>
        <v>50005.097208490661</v>
      </c>
      <c r="AN88" s="44">
        <f t="shared" si="54"/>
        <v>111</v>
      </c>
      <c r="AO88" s="45">
        <f t="shared" si="5"/>
        <v>60838.846653504297</v>
      </c>
      <c r="AP88" s="3"/>
      <c r="AQ88" s="46">
        <f t="shared" si="47"/>
        <v>51</v>
      </c>
      <c r="AR88" s="47">
        <f t="shared" si="40"/>
        <v>35276.070999381329</v>
      </c>
      <c r="AS88" s="46">
        <f t="shared" si="55"/>
        <v>111</v>
      </c>
      <c r="AT88" s="47">
        <f t="shared" si="6"/>
        <v>42918.734166665759</v>
      </c>
      <c r="AV88" s="41">
        <f t="shared" si="7"/>
        <v>0</v>
      </c>
      <c r="AW88" s="41">
        <f t="shared" si="8"/>
        <v>0</v>
      </c>
      <c r="AX88" s="43">
        <f t="shared" si="9"/>
        <v>0</v>
      </c>
      <c r="AY88" s="43">
        <f t="shared" si="10"/>
        <v>0</v>
      </c>
      <c r="AZ88" s="11"/>
      <c r="BA88" s="36">
        <f t="shared" si="68"/>
        <v>51</v>
      </c>
      <c r="BB88" s="35">
        <f t="shared" si="74"/>
        <v>50005.097208490661</v>
      </c>
      <c r="BC88" s="120"/>
      <c r="BD88" s="307">
        <f t="shared" si="69"/>
        <v>51</v>
      </c>
      <c r="BE88" s="303">
        <f t="shared" si="70"/>
        <v>35276.070999381329</v>
      </c>
      <c r="BF88" s="208"/>
      <c r="BG88" s="37">
        <f t="shared" si="50"/>
        <v>51</v>
      </c>
      <c r="BH88" s="8">
        <f t="shared" si="66"/>
        <v>398.96856330239996</v>
      </c>
      <c r="BI88" s="8"/>
      <c r="BJ88" s="37">
        <f t="shared" si="51"/>
        <v>51</v>
      </c>
      <c r="BK88" s="8">
        <f t="shared" si="13"/>
        <v>0</v>
      </c>
      <c r="BL88" s="8"/>
      <c r="BM88" s="4">
        <v>50</v>
      </c>
      <c r="BN88" s="14">
        <f t="shared" si="14"/>
        <v>34038.275964023334</v>
      </c>
      <c r="BO88" s="14">
        <f t="shared" si="15"/>
        <v>8577.6455429338803</v>
      </c>
      <c r="BP88" s="14">
        <f t="shared" si="42"/>
        <v>1372.423286869421</v>
      </c>
      <c r="BQ88" s="14">
        <f t="shared" si="16"/>
        <v>3063.4448367620998</v>
      </c>
      <c r="BR88" s="38">
        <f t="shared" si="67"/>
        <v>47051.789630588741</v>
      </c>
      <c r="BT88" s="4">
        <v>50</v>
      </c>
      <c r="BU88" s="14">
        <f>SUM(BN$39:BN88)</f>
        <v>1365645.3556480459</v>
      </c>
      <c r="BV88" s="14">
        <f>SUM(BO$39:BO88)</f>
        <v>344142.62962330808</v>
      </c>
      <c r="BW88" s="14">
        <f>SUM(BP$39:BP88)</f>
        <v>55062.820739729264</v>
      </c>
      <c r="BX88" s="14">
        <f>SUM(BQ$39:BQ88)</f>
        <v>122908.08200832424</v>
      </c>
      <c r="BY88" s="21">
        <f>SUM(BR$39:BR88)</f>
        <v>1887758.8880194074</v>
      </c>
    </row>
    <row r="89" spans="1:77" ht="18" customHeight="1" x14ac:dyDescent="0.25">
      <c r="A89" s="268"/>
      <c r="B89" s="267">
        <f t="shared" si="52"/>
        <v>51</v>
      </c>
      <c r="C89" s="264">
        <f t="shared" si="43"/>
        <v>52</v>
      </c>
      <c r="D89" s="265">
        <f t="shared" si="19"/>
        <v>50005.097208490661</v>
      </c>
      <c r="E89" s="266">
        <f t="shared" si="20"/>
        <v>38215.379626666661</v>
      </c>
      <c r="F89" s="266">
        <f t="shared" si="59"/>
        <v>6878.7683327999994</v>
      </c>
      <c r="G89" s="266">
        <f t="shared" si="22"/>
        <v>1100.602933248</v>
      </c>
      <c r="H89" s="266">
        <f t="shared" si="23"/>
        <v>2456.702976</v>
      </c>
      <c r="I89" s="266">
        <f t="shared" si="24"/>
        <v>1353.6433397759999</v>
      </c>
      <c r="J89" s="435"/>
      <c r="K89" s="317">
        <f t="shared" si="25"/>
        <v>0</v>
      </c>
      <c r="L89" s="317">
        <f t="shared" si="71"/>
        <v>0</v>
      </c>
      <c r="M89" s="317">
        <f t="shared" si="27"/>
        <v>0</v>
      </c>
      <c r="N89" s="347">
        <f t="shared" si="28"/>
        <v>0</v>
      </c>
      <c r="O89" s="267">
        <f t="shared" si="53"/>
        <v>111</v>
      </c>
      <c r="P89" s="264">
        <f t="shared" si="75"/>
        <v>112</v>
      </c>
      <c r="Q89" s="265">
        <f t="shared" si="30"/>
        <v>60838.846653504297</v>
      </c>
      <c r="R89" s="266">
        <f t="shared" si="31"/>
        <v>46494.852539101819</v>
      </c>
      <c r="S89" s="266">
        <f t="shared" si="32"/>
        <v>8369.0734570383283</v>
      </c>
      <c r="T89" s="266">
        <f t="shared" si="33"/>
        <v>1339.0517531261326</v>
      </c>
      <c r="U89" s="266">
        <f t="shared" si="34"/>
        <v>2988.9548060851171</v>
      </c>
      <c r="V89" s="266">
        <f t="shared" si="35"/>
        <v>1646.9140981528997</v>
      </c>
      <c r="W89" s="316"/>
      <c r="X89" s="317">
        <f t="shared" si="76"/>
        <v>0</v>
      </c>
      <c r="Y89" s="317">
        <f t="shared" si="77"/>
        <v>0</v>
      </c>
      <c r="Z89" s="317">
        <f t="shared" si="78"/>
        <v>0</v>
      </c>
      <c r="AA89" s="347">
        <f t="shared" si="79"/>
        <v>0</v>
      </c>
      <c r="AB89" s="309"/>
      <c r="AC89" s="132"/>
      <c r="AD89" s="136"/>
      <c r="AE89" s="136"/>
      <c r="AF89" s="132"/>
      <c r="AG89" s="13">
        <f t="shared" si="37"/>
        <v>51</v>
      </c>
      <c r="AH89" s="14">
        <f t="shared" si="80"/>
        <v>6126889.6735242</v>
      </c>
      <c r="AI89" s="44">
        <f t="shared" si="44"/>
        <v>52</v>
      </c>
      <c r="AJ89" s="55">
        <f t="shared" ref="AJ89:AJ98" si="81">AJ88</f>
        <v>4913405.9519999996</v>
      </c>
      <c r="AK89" s="59">
        <v>3</v>
      </c>
      <c r="AL89" s="44">
        <f t="shared" si="46"/>
        <v>52</v>
      </c>
      <c r="AM89" s="45">
        <f t="shared" si="39"/>
        <v>50005.097208490661</v>
      </c>
      <c r="AN89" s="44">
        <f t="shared" si="54"/>
        <v>112</v>
      </c>
      <c r="AO89" s="45">
        <f t="shared" si="5"/>
        <v>60838.846653504297</v>
      </c>
      <c r="AP89" s="3"/>
      <c r="AQ89" s="46">
        <f t="shared" si="47"/>
        <v>52</v>
      </c>
      <c r="AR89" s="47">
        <f t="shared" si="40"/>
        <v>35276.070999381329</v>
      </c>
      <c r="AS89" s="46">
        <f t="shared" si="55"/>
        <v>112</v>
      </c>
      <c r="AT89" s="47">
        <f t="shared" si="6"/>
        <v>42918.734166665759</v>
      </c>
      <c r="AV89" s="41">
        <f t="shared" si="7"/>
        <v>0</v>
      </c>
      <c r="AW89" s="41">
        <f t="shared" si="8"/>
        <v>0</v>
      </c>
      <c r="AX89" s="43">
        <f t="shared" si="9"/>
        <v>0</v>
      </c>
      <c r="AY89" s="43">
        <f t="shared" si="10"/>
        <v>0</v>
      </c>
      <c r="AZ89" s="11"/>
      <c r="BA89" s="36">
        <f t="shared" si="68"/>
        <v>52</v>
      </c>
      <c r="BB89" s="35">
        <f t="shared" si="74"/>
        <v>50005.097208490661</v>
      </c>
      <c r="BC89" s="120"/>
      <c r="BD89" s="307">
        <f t="shared" si="69"/>
        <v>52</v>
      </c>
      <c r="BE89" s="303">
        <f t="shared" si="70"/>
        <v>35276.070999381329</v>
      </c>
      <c r="BF89" s="208"/>
      <c r="BG89" s="37">
        <f t="shared" si="50"/>
        <v>52</v>
      </c>
      <c r="BH89" s="8">
        <f t="shared" si="66"/>
        <v>398.96856330239996</v>
      </c>
      <c r="BI89" s="8"/>
      <c r="BJ89" s="37">
        <f t="shared" si="51"/>
        <v>52</v>
      </c>
      <c r="BK89" s="8">
        <f t="shared" si="13"/>
        <v>0</v>
      </c>
      <c r="BL89" s="8"/>
      <c r="BM89" s="4">
        <v>51</v>
      </c>
      <c r="BN89" s="14">
        <f t="shared" si="14"/>
        <v>34038.275964023334</v>
      </c>
      <c r="BO89" s="14">
        <f t="shared" si="15"/>
        <v>8577.6455429338803</v>
      </c>
      <c r="BP89" s="14">
        <f t="shared" si="42"/>
        <v>1372.423286869421</v>
      </c>
      <c r="BQ89" s="14">
        <f t="shared" si="16"/>
        <v>3063.4448367620998</v>
      </c>
      <c r="BR89" s="38">
        <f t="shared" si="67"/>
        <v>47051.789630588741</v>
      </c>
      <c r="BT89" s="4">
        <v>51</v>
      </c>
      <c r="BU89" s="14">
        <f>SUM(BN$39:BN89)</f>
        <v>1399683.6316120692</v>
      </c>
      <c r="BV89" s="14">
        <f>SUM(BO$39:BO89)</f>
        <v>352720.27516624198</v>
      </c>
      <c r="BW89" s="14">
        <f>SUM(BP$39:BP89)</f>
        <v>56435.244026598688</v>
      </c>
      <c r="BX89" s="14">
        <f>SUM(BQ$39:BQ89)</f>
        <v>125971.52684508634</v>
      </c>
      <c r="BY89" s="21">
        <f>SUM(BR$39:BR89)</f>
        <v>1934810.6776499962</v>
      </c>
    </row>
    <row r="90" spans="1:77" ht="18" customHeight="1" x14ac:dyDescent="0.25">
      <c r="A90" s="268"/>
      <c r="B90" s="267">
        <f t="shared" si="52"/>
        <v>52</v>
      </c>
      <c r="C90" s="264">
        <f t="shared" si="43"/>
        <v>53</v>
      </c>
      <c r="D90" s="265">
        <f t="shared" si="19"/>
        <v>50005.097208490661</v>
      </c>
      <c r="E90" s="266">
        <f t="shared" si="20"/>
        <v>38215.379626666661</v>
      </c>
      <c r="F90" s="266">
        <f t="shared" si="59"/>
        <v>6878.7683327999994</v>
      </c>
      <c r="G90" s="266">
        <f t="shared" si="22"/>
        <v>1100.602933248</v>
      </c>
      <c r="H90" s="266">
        <f t="shared" si="23"/>
        <v>2456.702976</v>
      </c>
      <c r="I90" s="266">
        <f t="shared" si="24"/>
        <v>1353.6433397759999</v>
      </c>
      <c r="J90" s="435"/>
      <c r="K90" s="317">
        <f t="shared" si="25"/>
        <v>0</v>
      </c>
      <c r="L90" s="317">
        <f t="shared" si="71"/>
        <v>0</v>
      </c>
      <c r="M90" s="317">
        <f t="shared" si="27"/>
        <v>0</v>
      </c>
      <c r="N90" s="347">
        <f t="shared" si="28"/>
        <v>0</v>
      </c>
      <c r="O90" s="267">
        <f t="shared" si="53"/>
        <v>112</v>
      </c>
      <c r="P90" s="264">
        <f t="shared" si="75"/>
        <v>113</v>
      </c>
      <c r="Q90" s="265">
        <f t="shared" si="30"/>
        <v>60838.846653504297</v>
      </c>
      <c r="R90" s="266">
        <f t="shared" si="31"/>
        <v>46494.852539101819</v>
      </c>
      <c r="S90" s="266">
        <f t="shared" si="32"/>
        <v>8369.0734570383283</v>
      </c>
      <c r="T90" s="266">
        <f t="shared" si="33"/>
        <v>1339.0517531261326</v>
      </c>
      <c r="U90" s="266">
        <f t="shared" si="34"/>
        <v>2988.9548060851171</v>
      </c>
      <c r="V90" s="266">
        <f t="shared" si="35"/>
        <v>1646.9140981528997</v>
      </c>
      <c r="W90" s="316"/>
      <c r="X90" s="317">
        <f t="shared" si="76"/>
        <v>0</v>
      </c>
      <c r="Y90" s="317">
        <f t="shared" si="77"/>
        <v>0</v>
      </c>
      <c r="Z90" s="317">
        <f t="shared" si="78"/>
        <v>0</v>
      </c>
      <c r="AA90" s="347">
        <f t="shared" si="79"/>
        <v>0</v>
      </c>
      <c r="AB90" s="309"/>
      <c r="AC90" s="132"/>
      <c r="AD90" s="136"/>
      <c r="AE90" s="136"/>
      <c r="AF90" s="132"/>
      <c r="AG90" s="13">
        <f t="shared" si="37"/>
        <v>52</v>
      </c>
      <c r="AH90" s="14">
        <f t="shared" si="80"/>
        <v>6126889.6735242</v>
      </c>
      <c r="AI90" s="44">
        <f t="shared" si="44"/>
        <v>53</v>
      </c>
      <c r="AJ90" s="55">
        <f t="shared" si="81"/>
        <v>4913405.9519999996</v>
      </c>
      <c r="AK90" s="59">
        <v>4</v>
      </c>
      <c r="AL90" s="44">
        <f t="shared" si="46"/>
        <v>53</v>
      </c>
      <c r="AM90" s="45">
        <f t="shared" si="39"/>
        <v>50005.097208490661</v>
      </c>
      <c r="AN90" s="44">
        <f t="shared" si="54"/>
        <v>113</v>
      </c>
      <c r="AO90" s="45">
        <f t="shared" si="5"/>
        <v>60838.846653504297</v>
      </c>
      <c r="AP90" s="3"/>
      <c r="AQ90" s="46">
        <f t="shared" si="47"/>
        <v>53</v>
      </c>
      <c r="AR90" s="47">
        <f t="shared" si="40"/>
        <v>35276.070999381329</v>
      </c>
      <c r="AS90" s="46">
        <f t="shared" si="55"/>
        <v>113</v>
      </c>
      <c r="AT90" s="47">
        <f t="shared" si="6"/>
        <v>42918.734166665759</v>
      </c>
      <c r="AV90" s="41">
        <f t="shared" si="7"/>
        <v>0</v>
      </c>
      <c r="AW90" s="41">
        <f t="shared" si="8"/>
        <v>0</v>
      </c>
      <c r="AX90" s="43">
        <f t="shared" si="9"/>
        <v>0</v>
      </c>
      <c r="AY90" s="43">
        <f t="shared" si="10"/>
        <v>0</v>
      </c>
      <c r="AZ90" s="11"/>
      <c r="BA90" s="36">
        <f t="shared" si="68"/>
        <v>53</v>
      </c>
      <c r="BB90" s="35">
        <f t="shared" si="74"/>
        <v>50005.097208490661</v>
      </c>
      <c r="BC90" s="120"/>
      <c r="BD90" s="307">
        <f t="shared" si="69"/>
        <v>53</v>
      </c>
      <c r="BE90" s="303">
        <f t="shared" si="70"/>
        <v>35276.070999381329</v>
      </c>
      <c r="BF90" s="208"/>
      <c r="BG90" s="37">
        <f t="shared" si="50"/>
        <v>53</v>
      </c>
      <c r="BH90" s="8">
        <f t="shared" si="66"/>
        <v>398.96856330239996</v>
      </c>
      <c r="BI90" s="8"/>
      <c r="BJ90" s="37">
        <f t="shared" si="51"/>
        <v>53</v>
      </c>
      <c r="BK90" s="8">
        <f t="shared" si="13"/>
        <v>0</v>
      </c>
      <c r="BL90" s="8"/>
      <c r="BM90" s="4">
        <v>52</v>
      </c>
      <c r="BN90" s="14">
        <f t="shared" si="14"/>
        <v>34038.275964023334</v>
      </c>
      <c r="BO90" s="14">
        <f t="shared" si="15"/>
        <v>8577.6455429338803</v>
      </c>
      <c r="BP90" s="14">
        <f t="shared" si="42"/>
        <v>1372.423286869421</v>
      </c>
      <c r="BQ90" s="14">
        <f t="shared" si="16"/>
        <v>3063.4448367620998</v>
      </c>
      <c r="BR90" s="38">
        <f t="shared" si="67"/>
        <v>47051.789630588741</v>
      </c>
      <c r="BT90" s="4">
        <v>52</v>
      </c>
      <c r="BU90" s="14">
        <f>SUM(BN$39:BN90)</f>
        <v>1433721.9075760925</v>
      </c>
      <c r="BV90" s="14">
        <f>SUM(BO$39:BO90)</f>
        <v>361297.92070917587</v>
      </c>
      <c r="BW90" s="14">
        <f>SUM(BP$39:BP90)</f>
        <v>57807.667313468111</v>
      </c>
      <c r="BX90" s="14">
        <f>SUM(BQ$39:BQ90)</f>
        <v>129034.97168184843</v>
      </c>
      <c r="BY90" s="21">
        <f>SUM(BR$39:BR90)</f>
        <v>1981862.4672805851</v>
      </c>
    </row>
    <row r="91" spans="1:77" ht="18" customHeight="1" x14ac:dyDescent="0.25">
      <c r="A91" s="268"/>
      <c r="B91" s="267">
        <f t="shared" si="52"/>
        <v>53</v>
      </c>
      <c r="C91" s="264">
        <f t="shared" si="43"/>
        <v>54</v>
      </c>
      <c r="D91" s="265">
        <f t="shared" si="19"/>
        <v>50005.097208490661</v>
      </c>
      <c r="E91" s="266">
        <f t="shared" si="20"/>
        <v>38215.379626666661</v>
      </c>
      <c r="F91" s="266">
        <f t="shared" si="59"/>
        <v>6878.7683327999994</v>
      </c>
      <c r="G91" s="266">
        <f t="shared" si="22"/>
        <v>1100.602933248</v>
      </c>
      <c r="H91" s="266">
        <f t="shared" si="23"/>
        <v>2456.702976</v>
      </c>
      <c r="I91" s="266">
        <f t="shared" si="24"/>
        <v>1353.6433397759999</v>
      </c>
      <c r="J91" s="435"/>
      <c r="K91" s="317">
        <f t="shared" si="25"/>
        <v>0</v>
      </c>
      <c r="L91" s="317">
        <f t="shared" si="71"/>
        <v>0</v>
      </c>
      <c r="M91" s="317">
        <f t="shared" si="27"/>
        <v>0</v>
      </c>
      <c r="N91" s="347">
        <f t="shared" si="28"/>
        <v>0</v>
      </c>
      <c r="O91" s="267">
        <f t="shared" si="53"/>
        <v>113</v>
      </c>
      <c r="P91" s="264">
        <f t="shared" si="75"/>
        <v>114</v>
      </c>
      <c r="Q91" s="265">
        <f t="shared" si="30"/>
        <v>60838.846653504297</v>
      </c>
      <c r="R91" s="266">
        <f t="shared" si="31"/>
        <v>46494.852539101819</v>
      </c>
      <c r="S91" s="266">
        <f t="shared" si="32"/>
        <v>8369.0734570383283</v>
      </c>
      <c r="T91" s="266">
        <f t="shared" si="33"/>
        <v>1339.0517531261326</v>
      </c>
      <c r="U91" s="266">
        <f t="shared" si="34"/>
        <v>2988.9548060851171</v>
      </c>
      <c r="V91" s="266">
        <f t="shared" si="35"/>
        <v>1646.9140981528997</v>
      </c>
      <c r="W91" s="316"/>
      <c r="X91" s="317">
        <f t="shared" si="76"/>
        <v>0</v>
      </c>
      <c r="Y91" s="317">
        <f t="shared" si="77"/>
        <v>0</v>
      </c>
      <c r="Z91" s="317">
        <f t="shared" si="78"/>
        <v>0</v>
      </c>
      <c r="AA91" s="347">
        <f t="shared" si="79"/>
        <v>0</v>
      </c>
      <c r="AB91" s="309"/>
      <c r="AC91" s="132"/>
      <c r="AD91" s="136"/>
      <c r="AE91" s="136"/>
      <c r="AF91" s="132"/>
      <c r="AG91" s="13">
        <f t="shared" si="37"/>
        <v>53</v>
      </c>
      <c r="AH91" s="14">
        <f t="shared" si="80"/>
        <v>6126889.6735242</v>
      </c>
      <c r="AI91" s="44">
        <f t="shared" si="44"/>
        <v>54</v>
      </c>
      <c r="AJ91" s="55">
        <f t="shared" si="81"/>
        <v>4913405.9519999996</v>
      </c>
      <c r="AK91" s="59">
        <v>5</v>
      </c>
      <c r="AL91" s="44">
        <f t="shared" si="46"/>
        <v>54</v>
      </c>
      <c r="AM91" s="45">
        <f t="shared" si="39"/>
        <v>50005.097208490661</v>
      </c>
      <c r="AN91" s="44">
        <f t="shared" si="54"/>
        <v>114</v>
      </c>
      <c r="AO91" s="45">
        <f t="shared" si="5"/>
        <v>60838.846653504297</v>
      </c>
      <c r="AP91" s="3"/>
      <c r="AQ91" s="46">
        <f t="shared" si="47"/>
        <v>54</v>
      </c>
      <c r="AR91" s="47">
        <f t="shared" si="40"/>
        <v>35276.070999381329</v>
      </c>
      <c r="AS91" s="46">
        <f t="shared" si="55"/>
        <v>114</v>
      </c>
      <c r="AT91" s="47">
        <f t="shared" si="6"/>
        <v>42918.734166665759</v>
      </c>
      <c r="AV91" s="41">
        <f t="shared" si="7"/>
        <v>0</v>
      </c>
      <c r="AW91" s="41">
        <f t="shared" si="8"/>
        <v>0</v>
      </c>
      <c r="AX91" s="43">
        <f t="shared" si="9"/>
        <v>0</v>
      </c>
      <c r="AY91" s="43">
        <f t="shared" si="10"/>
        <v>0</v>
      </c>
      <c r="AZ91" s="11"/>
      <c r="BA91" s="36">
        <f t="shared" si="68"/>
        <v>54</v>
      </c>
      <c r="BB91" s="35">
        <f t="shared" si="74"/>
        <v>50005.097208490661</v>
      </c>
      <c r="BC91" s="120"/>
      <c r="BD91" s="307">
        <f t="shared" si="69"/>
        <v>54</v>
      </c>
      <c r="BE91" s="303">
        <f t="shared" si="70"/>
        <v>35276.070999381329</v>
      </c>
      <c r="BF91" s="208"/>
      <c r="BG91" s="37">
        <f t="shared" si="50"/>
        <v>54</v>
      </c>
      <c r="BH91" s="8">
        <f t="shared" si="66"/>
        <v>398.96856330239996</v>
      </c>
      <c r="BI91" s="8"/>
      <c r="BJ91" s="37">
        <f t="shared" si="51"/>
        <v>54</v>
      </c>
      <c r="BK91" s="8">
        <f t="shared" si="13"/>
        <v>0</v>
      </c>
      <c r="BL91" s="8"/>
      <c r="BM91" s="4">
        <v>53</v>
      </c>
      <c r="BN91" s="14">
        <f t="shared" si="14"/>
        <v>34038.275964023334</v>
      </c>
      <c r="BO91" s="14">
        <f t="shared" si="15"/>
        <v>8577.6455429338803</v>
      </c>
      <c r="BP91" s="14">
        <f t="shared" si="42"/>
        <v>1372.423286869421</v>
      </c>
      <c r="BQ91" s="14">
        <f t="shared" si="16"/>
        <v>3063.4448367620998</v>
      </c>
      <c r="BR91" s="38">
        <f t="shared" si="67"/>
        <v>47051.789630588741</v>
      </c>
      <c r="BT91" s="4">
        <v>53</v>
      </c>
      <c r="BU91" s="14">
        <f>SUM(BN$39:BN91)</f>
        <v>1467760.1835401158</v>
      </c>
      <c r="BV91" s="14">
        <f>SUM(BO$39:BO91)</f>
        <v>369875.56625210977</v>
      </c>
      <c r="BW91" s="14">
        <f>SUM(BP$39:BP91)</f>
        <v>59180.090600337535</v>
      </c>
      <c r="BX91" s="14">
        <f>SUM(BQ$39:BQ91)</f>
        <v>132098.41651861052</v>
      </c>
      <c r="BY91" s="21">
        <f>SUM(BR$39:BR91)</f>
        <v>2028914.2569111739</v>
      </c>
    </row>
    <row r="92" spans="1:77" ht="18" customHeight="1" x14ac:dyDescent="0.25">
      <c r="A92" s="268"/>
      <c r="B92" s="267">
        <f t="shared" si="52"/>
        <v>54</v>
      </c>
      <c r="C92" s="264">
        <f t="shared" si="43"/>
        <v>55</v>
      </c>
      <c r="D92" s="265">
        <f t="shared" si="19"/>
        <v>50005.097208490661</v>
      </c>
      <c r="E92" s="266">
        <f t="shared" si="20"/>
        <v>38215.379626666661</v>
      </c>
      <c r="F92" s="266">
        <f t="shared" si="59"/>
        <v>6878.7683327999994</v>
      </c>
      <c r="G92" s="266">
        <f t="shared" si="22"/>
        <v>1100.602933248</v>
      </c>
      <c r="H92" s="266">
        <f t="shared" si="23"/>
        <v>2456.702976</v>
      </c>
      <c r="I92" s="266">
        <f t="shared" si="24"/>
        <v>1353.6433397759999</v>
      </c>
      <c r="J92" s="435"/>
      <c r="K92" s="317">
        <f t="shared" si="25"/>
        <v>0</v>
      </c>
      <c r="L92" s="317">
        <f t="shared" si="71"/>
        <v>0</v>
      </c>
      <c r="M92" s="317">
        <f t="shared" si="27"/>
        <v>0</v>
      </c>
      <c r="N92" s="347">
        <f t="shared" si="28"/>
        <v>0</v>
      </c>
      <c r="O92" s="267">
        <f t="shared" si="53"/>
        <v>114</v>
      </c>
      <c r="P92" s="264">
        <f t="shared" ref="P92:P93" si="82">IF(Q92=0,0,IF(P91&gt;=180,0,IF(P91=0,0,P91+1)))</f>
        <v>115</v>
      </c>
      <c r="Q92" s="265">
        <f t="shared" si="30"/>
        <v>60838.846653504297</v>
      </c>
      <c r="R92" s="266">
        <f t="shared" si="31"/>
        <v>46494.852539101819</v>
      </c>
      <c r="S92" s="266">
        <f t="shared" si="32"/>
        <v>8369.0734570383283</v>
      </c>
      <c r="T92" s="266">
        <f t="shared" si="33"/>
        <v>1339.0517531261326</v>
      </c>
      <c r="U92" s="266">
        <f t="shared" si="34"/>
        <v>2988.9548060851171</v>
      </c>
      <c r="V92" s="266">
        <f t="shared" si="35"/>
        <v>1646.9140981528997</v>
      </c>
      <c r="W92" s="316"/>
      <c r="X92" s="317">
        <f t="shared" ref="X92:X93" si="83">IF(W92=0,0,($AJ152/$B$10)*$AY92)</f>
        <v>0</v>
      </c>
      <c r="Y92" s="317">
        <f t="shared" ref="Y92:Y93" si="84">IF(W92=0,0,($AJ152*($G$15*(100%-$BE$29))*$AY92))</f>
        <v>0</v>
      </c>
      <c r="Z92" s="317">
        <f t="shared" ref="Z92:Z93" si="85">Y92*0.16</f>
        <v>0</v>
      </c>
      <c r="AA92" s="347">
        <f t="shared" ref="AA92:AA93" si="86">AY92</f>
        <v>0</v>
      </c>
      <c r="AB92" s="309"/>
      <c r="AC92" s="132"/>
      <c r="AD92" s="136"/>
      <c r="AE92" s="136"/>
      <c r="AF92" s="132"/>
      <c r="AG92" s="13">
        <f t="shared" si="37"/>
        <v>54</v>
      </c>
      <c r="AH92" s="14">
        <f t="shared" si="80"/>
        <v>6126889.6735242</v>
      </c>
      <c r="AI92" s="44">
        <f t="shared" si="44"/>
        <v>55</v>
      </c>
      <c r="AJ92" s="55">
        <f t="shared" si="81"/>
        <v>4913405.9519999996</v>
      </c>
      <c r="AK92" s="59">
        <v>6</v>
      </c>
      <c r="AL92" s="44">
        <f t="shared" si="46"/>
        <v>55</v>
      </c>
      <c r="AM92" s="45">
        <f t="shared" si="39"/>
        <v>50005.097208490661</v>
      </c>
      <c r="AN92" s="44">
        <f t="shared" si="54"/>
        <v>115</v>
      </c>
      <c r="AO92" s="45">
        <f t="shared" si="5"/>
        <v>60838.846653504297</v>
      </c>
      <c r="AP92" s="3"/>
      <c r="AQ92" s="46">
        <f t="shared" si="47"/>
        <v>55</v>
      </c>
      <c r="AR92" s="47">
        <f t="shared" si="40"/>
        <v>35276.070999381329</v>
      </c>
      <c r="AS92" s="46">
        <f t="shared" si="55"/>
        <v>115</v>
      </c>
      <c r="AT92" s="47">
        <f t="shared" si="6"/>
        <v>42918.734166665759</v>
      </c>
      <c r="AV92" s="41">
        <f t="shared" si="7"/>
        <v>0</v>
      </c>
      <c r="AW92" s="41">
        <f t="shared" si="8"/>
        <v>0</v>
      </c>
      <c r="AX92" s="43">
        <f t="shared" si="9"/>
        <v>0</v>
      </c>
      <c r="AY92" s="43">
        <f t="shared" si="10"/>
        <v>0</v>
      </c>
      <c r="AZ92" s="11"/>
      <c r="BA92" s="36">
        <f t="shared" si="68"/>
        <v>55</v>
      </c>
      <c r="BB92" s="35">
        <f t="shared" si="74"/>
        <v>50005.097208490661</v>
      </c>
      <c r="BC92" s="120"/>
      <c r="BD92" s="307">
        <f t="shared" si="69"/>
        <v>55</v>
      </c>
      <c r="BE92" s="303">
        <f t="shared" si="70"/>
        <v>35276.070999381329</v>
      </c>
      <c r="BF92" s="208"/>
      <c r="BG92" s="37">
        <f t="shared" si="50"/>
        <v>55</v>
      </c>
      <c r="BH92" s="8">
        <f t="shared" si="66"/>
        <v>398.96856330239996</v>
      </c>
      <c r="BI92" s="8"/>
      <c r="BJ92" s="37">
        <f t="shared" si="51"/>
        <v>55</v>
      </c>
      <c r="BK92" s="8">
        <f t="shared" si="13"/>
        <v>0</v>
      </c>
      <c r="BL92" s="8"/>
      <c r="BM92" s="4">
        <v>54</v>
      </c>
      <c r="BN92" s="14">
        <f t="shared" si="14"/>
        <v>34038.275964023334</v>
      </c>
      <c r="BO92" s="14">
        <f t="shared" si="15"/>
        <v>8577.6455429338803</v>
      </c>
      <c r="BP92" s="14">
        <f t="shared" si="42"/>
        <v>1372.423286869421</v>
      </c>
      <c r="BQ92" s="14">
        <f t="shared" si="16"/>
        <v>3063.4448367620998</v>
      </c>
      <c r="BR92" s="38">
        <f t="shared" si="67"/>
        <v>47051.789630588741</v>
      </c>
      <c r="BT92" s="4">
        <v>54</v>
      </c>
      <c r="BU92" s="14">
        <f>SUM(BN$39:BN92)</f>
        <v>1501798.4595041391</v>
      </c>
      <c r="BV92" s="14">
        <f>SUM(BO$39:BO92)</f>
        <v>378453.21179504367</v>
      </c>
      <c r="BW92" s="14">
        <f>SUM(BP$39:BP92)</f>
        <v>60552.513887206958</v>
      </c>
      <c r="BX92" s="14">
        <f>SUM(BQ$39:BQ92)</f>
        <v>135161.86135537262</v>
      </c>
      <c r="BY92" s="21">
        <f>SUM(BR$39:BR92)</f>
        <v>2075966.0465417628</v>
      </c>
    </row>
    <row r="93" spans="1:77" ht="18" customHeight="1" x14ac:dyDescent="0.25">
      <c r="A93" s="268"/>
      <c r="B93" s="267">
        <f t="shared" si="52"/>
        <v>55</v>
      </c>
      <c r="C93" s="264">
        <f t="shared" si="43"/>
        <v>56</v>
      </c>
      <c r="D93" s="265">
        <f t="shared" si="19"/>
        <v>50005.097208490661</v>
      </c>
      <c r="E93" s="266">
        <f t="shared" si="20"/>
        <v>38215.379626666661</v>
      </c>
      <c r="F93" s="266">
        <f t="shared" si="59"/>
        <v>6878.7683327999994</v>
      </c>
      <c r="G93" s="266">
        <f t="shared" si="22"/>
        <v>1100.602933248</v>
      </c>
      <c r="H93" s="266">
        <f t="shared" si="23"/>
        <v>2456.702976</v>
      </c>
      <c r="I93" s="266">
        <f t="shared" si="24"/>
        <v>1353.6433397759999</v>
      </c>
      <c r="J93" s="435"/>
      <c r="K93" s="317">
        <f t="shared" si="25"/>
        <v>0</v>
      </c>
      <c r="L93" s="317">
        <f t="shared" si="71"/>
        <v>0</v>
      </c>
      <c r="M93" s="317">
        <f t="shared" si="27"/>
        <v>0</v>
      </c>
      <c r="N93" s="347">
        <f t="shared" si="28"/>
        <v>0</v>
      </c>
      <c r="O93" s="267">
        <f t="shared" si="53"/>
        <v>115</v>
      </c>
      <c r="P93" s="264">
        <f t="shared" si="82"/>
        <v>116</v>
      </c>
      <c r="Q93" s="265">
        <f t="shared" si="30"/>
        <v>60838.846653504297</v>
      </c>
      <c r="R93" s="266">
        <f t="shared" si="31"/>
        <v>46494.852539101819</v>
      </c>
      <c r="S93" s="266">
        <f t="shared" si="32"/>
        <v>8369.0734570383283</v>
      </c>
      <c r="T93" s="266">
        <f t="shared" si="33"/>
        <v>1339.0517531261326</v>
      </c>
      <c r="U93" s="266">
        <f t="shared" si="34"/>
        <v>2988.9548060851171</v>
      </c>
      <c r="V93" s="266">
        <f t="shared" si="35"/>
        <v>1646.9140981528997</v>
      </c>
      <c r="W93" s="316"/>
      <c r="X93" s="317">
        <f t="shared" si="83"/>
        <v>0</v>
      </c>
      <c r="Y93" s="317">
        <f t="shared" si="84"/>
        <v>0</v>
      </c>
      <c r="Z93" s="317">
        <f t="shared" si="85"/>
        <v>0</v>
      </c>
      <c r="AA93" s="347">
        <f t="shared" si="86"/>
        <v>0</v>
      </c>
      <c r="AB93" s="309"/>
      <c r="AC93" s="132"/>
      <c r="AD93" s="136"/>
      <c r="AE93" s="136"/>
      <c r="AF93" s="132"/>
      <c r="AG93" s="13">
        <f t="shared" si="37"/>
        <v>55</v>
      </c>
      <c r="AH93" s="14">
        <f t="shared" si="80"/>
        <v>6126889.6735242</v>
      </c>
      <c r="AI93" s="44">
        <f t="shared" si="44"/>
        <v>56</v>
      </c>
      <c r="AJ93" s="55">
        <f t="shared" si="81"/>
        <v>4913405.9519999996</v>
      </c>
      <c r="AK93" s="59">
        <v>7</v>
      </c>
      <c r="AL93" s="44">
        <f t="shared" si="46"/>
        <v>56</v>
      </c>
      <c r="AM93" s="45">
        <f t="shared" si="39"/>
        <v>50005.097208490661</v>
      </c>
      <c r="AN93" s="44">
        <f t="shared" si="54"/>
        <v>116</v>
      </c>
      <c r="AO93" s="45">
        <f t="shared" si="5"/>
        <v>60838.846653504297</v>
      </c>
      <c r="AP93" s="3"/>
      <c r="AQ93" s="46">
        <f t="shared" si="47"/>
        <v>56</v>
      </c>
      <c r="AR93" s="47">
        <f t="shared" si="40"/>
        <v>35276.070999381329</v>
      </c>
      <c r="AS93" s="46">
        <f t="shared" si="55"/>
        <v>116</v>
      </c>
      <c r="AT93" s="47">
        <f t="shared" si="6"/>
        <v>42918.734166665759</v>
      </c>
      <c r="AV93" s="41">
        <f t="shared" si="7"/>
        <v>0</v>
      </c>
      <c r="AW93" s="41">
        <f t="shared" si="8"/>
        <v>0</v>
      </c>
      <c r="AX93" s="43">
        <f t="shared" si="9"/>
        <v>0</v>
      </c>
      <c r="AY93" s="43">
        <f t="shared" si="10"/>
        <v>0</v>
      </c>
      <c r="AZ93" s="11"/>
      <c r="BA93" s="36">
        <f t="shared" si="68"/>
        <v>56</v>
      </c>
      <c r="BB93" s="35">
        <f t="shared" si="74"/>
        <v>50005.097208490661</v>
      </c>
      <c r="BC93" s="120"/>
      <c r="BD93" s="307">
        <f t="shared" si="69"/>
        <v>56</v>
      </c>
      <c r="BE93" s="303">
        <f t="shared" si="70"/>
        <v>35276.070999381329</v>
      </c>
      <c r="BF93" s="208"/>
      <c r="BG93" s="37">
        <f t="shared" si="50"/>
        <v>56</v>
      </c>
      <c r="BH93" s="8">
        <f t="shared" si="66"/>
        <v>398.96856330239996</v>
      </c>
      <c r="BI93" s="8"/>
      <c r="BJ93" s="37">
        <f t="shared" si="51"/>
        <v>56</v>
      </c>
      <c r="BK93" s="8">
        <f t="shared" si="13"/>
        <v>0</v>
      </c>
      <c r="BL93" s="8"/>
      <c r="BM93" s="4">
        <v>55</v>
      </c>
      <c r="BN93" s="14">
        <f t="shared" si="14"/>
        <v>34038.275964023334</v>
      </c>
      <c r="BO93" s="14">
        <f t="shared" si="15"/>
        <v>8577.6455429338803</v>
      </c>
      <c r="BP93" s="14">
        <f t="shared" si="42"/>
        <v>1372.423286869421</v>
      </c>
      <c r="BQ93" s="14">
        <f t="shared" si="16"/>
        <v>3063.4448367620998</v>
      </c>
      <c r="BR93" s="38">
        <f t="shared" si="67"/>
        <v>47051.789630588741</v>
      </c>
      <c r="BT93" s="4">
        <v>55</v>
      </c>
      <c r="BU93" s="14">
        <f>SUM(BN$39:BN93)</f>
        <v>1535836.7354681625</v>
      </c>
      <c r="BV93" s="14">
        <f>SUM(BO$39:BO93)</f>
        <v>387030.85733797756</v>
      </c>
      <c r="BW93" s="14">
        <f>SUM(BP$39:BP93)</f>
        <v>61924.937174076382</v>
      </c>
      <c r="BX93" s="14">
        <f>SUM(BQ$39:BQ93)</f>
        <v>138225.30619213471</v>
      </c>
      <c r="BY93" s="21">
        <f>SUM(BR$39:BR93)</f>
        <v>2123017.8361723516</v>
      </c>
    </row>
    <row r="94" spans="1:77" ht="18" customHeight="1" x14ac:dyDescent="0.25">
      <c r="A94" s="268"/>
      <c r="B94" s="267">
        <f t="shared" si="52"/>
        <v>56</v>
      </c>
      <c r="C94" s="264">
        <f t="shared" si="43"/>
        <v>57</v>
      </c>
      <c r="D94" s="265">
        <f t="shared" si="19"/>
        <v>50005.097208490661</v>
      </c>
      <c r="E94" s="266">
        <f t="shared" si="20"/>
        <v>38215.379626666661</v>
      </c>
      <c r="F94" s="266">
        <f t="shared" si="59"/>
        <v>6878.7683327999994</v>
      </c>
      <c r="G94" s="266">
        <f t="shared" si="22"/>
        <v>1100.602933248</v>
      </c>
      <c r="H94" s="266">
        <f t="shared" si="23"/>
        <v>2456.702976</v>
      </c>
      <c r="I94" s="266">
        <f t="shared" si="24"/>
        <v>1353.6433397759999</v>
      </c>
      <c r="J94" s="435"/>
      <c r="K94" s="317">
        <f t="shared" si="25"/>
        <v>0</v>
      </c>
      <c r="L94" s="317">
        <f t="shared" si="71"/>
        <v>0</v>
      </c>
      <c r="M94" s="317">
        <f t="shared" si="27"/>
        <v>0</v>
      </c>
      <c r="N94" s="347">
        <f t="shared" si="28"/>
        <v>0</v>
      </c>
      <c r="O94" s="368"/>
      <c r="P94" s="264"/>
      <c r="Q94" s="265"/>
      <c r="R94" s="266"/>
      <c r="S94" s="266"/>
      <c r="T94" s="266"/>
      <c r="U94" s="266"/>
      <c r="V94" s="266"/>
      <c r="W94" s="365"/>
      <c r="X94" s="366"/>
      <c r="Y94" s="366"/>
      <c r="Z94" s="366"/>
      <c r="AA94" s="367"/>
      <c r="AB94" s="309"/>
      <c r="AC94" s="132"/>
      <c r="AD94" s="136"/>
      <c r="AE94" s="136"/>
      <c r="AF94" s="132"/>
      <c r="AG94" s="13">
        <f t="shared" si="37"/>
        <v>56</v>
      </c>
      <c r="AH94" s="14">
        <f t="shared" si="80"/>
        <v>6126889.6735242</v>
      </c>
      <c r="AI94" s="44">
        <f t="shared" si="44"/>
        <v>57</v>
      </c>
      <c r="AJ94" s="55">
        <f t="shared" si="81"/>
        <v>4913405.9519999996</v>
      </c>
      <c r="AK94" s="59">
        <v>8</v>
      </c>
      <c r="AL94" s="44">
        <f t="shared" si="46"/>
        <v>57</v>
      </c>
      <c r="AM94" s="45">
        <f t="shared" si="39"/>
        <v>50005.097208490661</v>
      </c>
      <c r="AN94" s="44"/>
      <c r="AO94" s="45"/>
      <c r="AP94" s="3"/>
      <c r="AQ94" s="46">
        <f t="shared" si="47"/>
        <v>57</v>
      </c>
      <c r="AR94" s="47">
        <f t="shared" si="40"/>
        <v>35276.070999381329</v>
      </c>
      <c r="AS94" s="46"/>
      <c r="AT94" s="47"/>
      <c r="AV94" s="41">
        <f t="shared" si="7"/>
        <v>0</v>
      </c>
      <c r="AW94" s="41"/>
      <c r="AX94" s="43">
        <f t="shared" si="9"/>
        <v>0</v>
      </c>
      <c r="AY94" s="43"/>
      <c r="AZ94" s="11"/>
      <c r="BA94" s="36">
        <f t="shared" si="68"/>
        <v>57</v>
      </c>
      <c r="BB94" s="35">
        <f t="shared" si="74"/>
        <v>50005.097208490661</v>
      </c>
      <c r="BC94" s="120"/>
      <c r="BD94" s="307">
        <f t="shared" si="69"/>
        <v>57</v>
      </c>
      <c r="BE94" s="303">
        <f t="shared" si="70"/>
        <v>35276.070999381329</v>
      </c>
      <c r="BF94" s="208"/>
      <c r="BG94" s="37">
        <f t="shared" si="50"/>
        <v>57</v>
      </c>
      <c r="BH94" s="8">
        <f t="shared" si="66"/>
        <v>398.96856330239996</v>
      </c>
      <c r="BI94" s="8"/>
      <c r="BJ94" s="37">
        <f t="shared" si="51"/>
        <v>57</v>
      </c>
      <c r="BK94" s="8">
        <f t="shared" si="13"/>
        <v>0</v>
      </c>
      <c r="BL94" s="8"/>
      <c r="BM94" s="4">
        <v>56</v>
      </c>
      <c r="BN94" s="14">
        <f t="shared" si="14"/>
        <v>34038.275964023334</v>
      </c>
      <c r="BO94" s="14">
        <f t="shared" si="15"/>
        <v>8577.6455429338803</v>
      </c>
      <c r="BP94" s="14">
        <f t="shared" si="42"/>
        <v>1372.423286869421</v>
      </c>
      <c r="BQ94" s="14">
        <f t="shared" si="16"/>
        <v>3063.4448367620998</v>
      </c>
      <c r="BR94" s="38">
        <f t="shared" si="67"/>
        <v>47051.789630588741</v>
      </c>
      <c r="BT94" s="4">
        <v>56</v>
      </c>
      <c r="BU94" s="14">
        <f>SUM(BN$39:BN94)</f>
        <v>1569875.0114321858</v>
      </c>
      <c r="BV94" s="14">
        <f>SUM(BO$39:BO94)</f>
        <v>395608.50288091146</v>
      </c>
      <c r="BW94" s="14">
        <f>SUM(BP$39:BP94)</f>
        <v>63297.360460945805</v>
      </c>
      <c r="BX94" s="14">
        <f>SUM(BQ$39:BQ94)</f>
        <v>141288.7510288968</v>
      </c>
      <c r="BY94" s="21">
        <f>SUM(BR$39:BR94)</f>
        <v>2170069.6258029402</v>
      </c>
    </row>
    <row r="95" spans="1:77" ht="18" customHeight="1" x14ac:dyDescent="0.25">
      <c r="A95" s="268"/>
      <c r="B95" s="267">
        <f t="shared" si="52"/>
        <v>57</v>
      </c>
      <c r="C95" s="264">
        <f t="shared" si="43"/>
        <v>58</v>
      </c>
      <c r="D95" s="265">
        <f t="shared" si="19"/>
        <v>50005.097208490661</v>
      </c>
      <c r="E95" s="266">
        <f t="shared" si="20"/>
        <v>38215.379626666661</v>
      </c>
      <c r="F95" s="266">
        <f t="shared" si="59"/>
        <v>6878.7683327999994</v>
      </c>
      <c r="G95" s="266">
        <f t="shared" si="22"/>
        <v>1100.602933248</v>
      </c>
      <c r="H95" s="266">
        <f t="shared" si="23"/>
        <v>2456.702976</v>
      </c>
      <c r="I95" s="266">
        <f t="shared" si="24"/>
        <v>1353.6433397759999</v>
      </c>
      <c r="J95" s="435"/>
      <c r="K95" s="317">
        <f t="shared" si="25"/>
        <v>0</v>
      </c>
      <c r="L95" s="317">
        <f t="shared" si="71"/>
        <v>0</v>
      </c>
      <c r="M95" s="317">
        <f t="shared" si="27"/>
        <v>0</v>
      </c>
      <c r="N95" s="347">
        <f t="shared" si="28"/>
        <v>0</v>
      </c>
      <c r="O95" s="368"/>
      <c r="P95" s="264"/>
      <c r="Q95" s="265"/>
      <c r="R95" s="266"/>
      <c r="S95" s="266"/>
      <c r="T95" s="266"/>
      <c r="U95" s="266"/>
      <c r="V95" s="266"/>
      <c r="W95" s="365"/>
      <c r="X95" s="366"/>
      <c r="Y95" s="366"/>
      <c r="Z95" s="366"/>
      <c r="AA95" s="367"/>
      <c r="AB95" s="309"/>
      <c r="AC95" s="132"/>
      <c r="AD95" s="136"/>
      <c r="AE95" s="136"/>
      <c r="AF95" s="132"/>
      <c r="AG95" s="13">
        <f t="shared" si="37"/>
        <v>57</v>
      </c>
      <c r="AH95" s="14">
        <f t="shared" si="80"/>
        <v>6126889.6735242</v>
      </c>
      <c r="AI95" s="44">
        <f t="shared" si="44"/>
        <v>58</v>
      </c>
      <c r="AJ95" s="55">
        <f t="shared" si="81"/>
        <v>4913405.9519999996</v>
      </c>
      <c r="AK95" s="59">
        <v>9</v>
      </c>
      <c r="AL95" s="44">
        <f t="shared" si="46"/>
        <v>58</v>
      </c>
      <c r="AM95" s="45">
        <f t="shared" si="39"/>
        <v>50005.097208490661</v>
      </c>
      <c r="AN95" s="44"/>
      <c r="AO95" s="45"/>
      <c r="AP95" s="3"/>
      <c r="AQ95" s="46">
        <f t="shared" si="47"/>
        <v>58</v>
      </c>
      <c r="AR95" s="47">
        <f t="shared" si="40"/>
        <v>35276.070999381329</v>
      </c>
      <c r="AS95" s="46"/>
      <c r="AT95" s="47"/>
      <c r="AV95" s="41">
        <f t="shared" si="7"/>
        <v>0</v>
      </c>
      <c r="AW95" s="41"/>
      <c r="AX95" s="43">
        <f t="shared" si="9"/>
        <v>0</v>
      </c>
      <c r="AY95" s="43"/>
      <c r="AZ95" s="11"/>
      <c r="BA95" s="36">
        <f t="shared" si="68"/>
        <v>58</v>
      </c>
      <c r="BB95" s="35">
        <f t="shared" si="74"/>
        <v>50005.097208490661</v>
      </c>
      <c r="BC95" s="120"/>
      <c r="BD95" s="307">
        <f t="shared" si="69"/>
        <v>58</v>
      </c>
      <c r="BE95" s="303">
        <f t="shared" si="70"/>
        <v>35276.070999381329</v>
      </c>
      <c r="BF95" s="208"/>
      <c r="BG95" s="37">
        <f t="shared" si="50"/>
        <v>58</v>
      </c>
      <c r="BH95" s="8">
        <f t="shared" si="66"/>
        <v>398.96856330239996</v>
      </c>
      <c r="BI95" s="8"/>
      <c r="BJ95" s="37">
        <f t="shared" si="51"/>
        <v>58</v>
      </c>
      <c r="BK95" s="8">
        <f t="shared" si="13"/>
        <v>0</v>
      </c>
      <c r="BL95" s="8"/>
      <c r="BM95" s="4">
        <v>57</v>
      </c>
      <c r="BN95" s="14">
        <f t="shared" si="14"/>
        <v>34038.275964023334</v>
      </c>
      <c r="BO95" s="14">
        <f t="shared" si="15"/>
        <v>8577.6455429338803</v>
      </c>
      <c r="BP95" s="14">
        <f t="shared" si="42"/>
        <v>1372.423286869421</v>
      </c>
      <c r="BQ95" s="14">
        <f t="shared" si="16"/>
        <v>3063.4448367620998</v>
      </c>
      <c r="BR95" s="38">
        <f t="shared" si="67"/>
        <v>47051.789630588741</v>
      </c>
      <c r="BT95" s="4">
        <v>57</v>
      </c>
      <c r="BU95" s="14">
        <f>SUM(BN$39:BN95)</f>
        <v>1603913.2873962091</v>
      </c>
      <c r="BV95" s="14">
        <f>SUM(BO$39:BO95)</f>
        <v>404186.14842384536</v>
      </c>
      <c r="BW95" s="14">
        <f>SUM(BP$39:BP95)</f>
        <v>64669.783747815229</v>
      </c>
      <c r="BX95" s="14">
        <f>SUM(BQ$39:BQ95)</f>
        <v>144352.1958656589</v>
      </c>
      <c r="BY95" s="21">
        <f>SUM(BR$39:BR95)</f>
        <v>2217121.4154335288</v>
      </c>
    </row>
    <row r="96" spans="1:77" ht="18" customHeight="1" x14ac:dyDescent="0.25">
      <c r="A96" s="268"/>
      <c r="B96" s="267">
        <f t="shared" si="52"/>
        <v>58</v>
      </c>
      <c r="C96" s="264">
        <f t="shared" si="43"/>
        <v>59</v>
      </c>
      <c r="D96" s="265">
        <f t="shared" si="19"/>
        <v>50005.097208490661</v>
      </c>
      <c r="E96" s="266">
        <f t="shared" si="20"/>
        <v>38215.379626666661</v>
      </c>
      <c r="F96" s="266">
        <f t="shared" si="59"/>
        <v>6878.7683327999994</v>
      </c>
      <c r="G96" s="266">
        <f t="shared" si="22"/>
        <v>1100.602933248</v>
      </c>
      <c r="H96" s="266">
        <f t="shared" si="23"/>
        <v>2456.702976</v>
      </c>
      <c r="I96" s="266">
        <f t="shared" si="24"/>
        <v>1353.6433397759999</v>
      </c>
      <c r="J96" s="435"/>
      <c r="K96" s="317">
        <f t="shared" si="25"/>
        <v>0</v>
      </c>
      <c r="L96" s="317">
        <f t="shared" si="71"/>
        <v>0</v>
      </c>
      <c r="M96" s="317">
        <f t="shared" si="27"/>
        <v>0</v>
      </c>
      <c r="N96" s="347">
        <f t="shared" si="28"/>
        <v>0</v>
      </c>
      <c r="O96" s="368"/>
      <c r="P96" s="264"/>
      <c r="Q96" s="265"/>
      <c r="R96" s="266"/>
      <c r="S96" s="266"/>
      <c r="T96" s="266"/>
      <c r="U96" s="266"/>
      <c r="V96" s="266"/>
      <c r="W96" s="365"/>
      <c r="X96" s="366"/>
      <c r="Y96" s="366"/>
      <c r="Z96" s="366"/>
      <c r="AA96" s="367"/>
      <c r="AB96" s="309"/>
      <c r="AC96" s="132"/>
      <c r="AD96" s="136"/>
      <c r="AE96" s="136"/>
      <c r="AF96" s="132"/>
      <c r="AG96" s="13">
        <f t="shared" si="37"/>
        <v>58</v>
      </c>
      <c r="AH96" s="14">
        <f t="shared" si="80"/>
        <v>6126889.6735242</v>
      </c>
      <c r="AI96" s="44">
        <f t="shared" si="44"/>
        <v>59</v>
      </c>
      <c r="AJ96" s="55">
        <f t="shared" si="81"/>
        <v>4913405.9519999996</v>
      </c>
      <c r="AK96" s="59">
        <v>10</v>
      </c>
      <c r="AL96" s="44">
        <f t="shared" si="46"/>
        <v>59</v>
      </c>
      <c r="AM96" s="45">
        <f t="shared" si="39"/>
        <v>50005.097208490661</v>
      </c>
      <c r="AN96" s="44"/>
      <c r="AO96" s="45"/>
      <c r="AP96" s="3"/>
      <c r="AQ96" s="46">
        <f t="shared" si="47"/>
        <v>59</v>
      </c>
      <c r="AR96" s="47">
        <f t="shared" si="40"/>
        <v>35276.070999381329</v>
      </c>
      <c r="AS96" s="46"/>
      <c r="AT96" s="47"/>
      <c r="AV96" s="41">
        <f t="shared" si="7"/>
        <v>0</v>
      </c>
      <c r="AW96" s="41"/>
      <c r="AX96" s="43">
        <f t="shared" si="9"/>
        <v>0</v>
      </c>
      <c r="AY96" s="43"/>
      <c r="AZ96" s="11"/>
      <c r="BA96" s="36">
        <f t="shared" si="68"/>
        <v>59</v>
      </c>
      <c r="BB96" s="35">
        <f t="shared" si="74"/>
        <v>50005.097208490661</v>
      </c>
      <c r="BC96" s="120"/>
      <c r="BD96" s="307">
        <f t="shared" si="69"/>
        <v>59</v>
      </c>
      <c r="BE96" s="303">
        <f t="shared" si="70"/>
        <v>35276.070999381329</v>
      </c>
      <c r="BF96" s="208"/>
      <c r="BG96" s="37">
        <f t="shared" si="50"/>
        <v>59</v>
      </c>
      <c r="BH96" s="8">
        <f t="shared" si="66"/>
        <v>398.96856330239996</v>
      </c>
      <c r="BI96" s="8"/>
      <c r="BJ96" s="37">
        <f t="shared" si="51"/>
        <v>59</v>
      </c>
      <c r="BK96" s="8">
        <f t="shared" si="13"/>
        <v>0</v>
      </c>
      <c r="BL96" s="8"/>
      <c r="BM96" s="4">
        <v>58</v>
      </c>
      <c r="BN96" s="14">
        <f t="shared" si="14"/>
        <v>34038.275964023334</v>
      </c>
      <c r="BO96" s="14">
        <f t="shared" si="15"/>
        <v>8577.6455429338803</v>
      </c>
      <c r="BP96" s="14">
        <f t="shared" si="42"/>
        <v>1372.423286869421</v>
      </c>
      <c r="BQ96" s="14">
        <f t="shared" si="16"/>
        <v>3063.4448367620998</v>
      </c>
      <c r="BR96" s="38">
        <f t="shared" si="67"/>
        <v>47051.789630588741</v>
      </c>
      <c r="BT96" s="4">
        <v>58</v>
      </c>
      <c r="BU96" s="14">
        <f>SUM(BN$39:BN96)</f>
        <v>1637951.5633602324</v>
      </c>
      <c r="BV96" s="14">
        <f>SUM(BO$39:BO96)</f>
        <v>412763.79396677925</v>
      </c>
      <c r="BW96" s="14">
        <f>SUM(BP$39:BP96)</f>
        <v>66042.207034684645</v>
      </c>
      <c r="BX96" s="14">
        <f>SUM(BQ$39:BQ96)</f>
        <v>147415.64070242099</v>
      </c>
      <c r="BY96" s="21">
        <f>SUM(BR$39:BR96)</f>
        <v>2264173.2050641174</v>
      </c>
    </row>
    <row r="97" spans="1:77" ht="18" customHeight="1" x14ac:dyDescent="0.25">
      <c r="A97" s="268"/>
      <c r="B97" s="267">
        <f t="shared" si="52"/>
        <v>59</v>
      </c>
      <c r="C97" s="264">
        <f t="shared" si="43"/>
        <v>60</v>
      </c>
      <c r="D97" s="265">
        <f t="shared" si="19"/>
        <v>50005.097208490661</v>
      </c>
      <c r="E97" s="266">
        <f t="shared" si="20"/>
        <v>38215.379626666661</v>
      </c>
      <c r="F97" s="266">
        <f t="shared" si="59"/>
        <v>6878.7683327999994</v>
      </c>
      <c r="G97" s="266">
        <f t="shared" si="22"/>
        <v>1100.602933248</v>
      </c>
      <c r="H97" s="266">
        <f t="shared" si="23"/>
        <v>2456.702976</v>
      </c>
      <c r="I97" s="266">
        <f t="shared" si="24"/>
        <v>1353.6433397759999</v>
      </c>
      <c r="J97" s="435"/>
      <c r="K97" s="317">
        <f t="shared" si="25"/>
        <v>0</v>
      </c>
      <c r="L97" s="317">
        <f t="shared" si="71"/>
        <v>0</v>
      </c>
      <c r="M97" s="317">
        <f t="shared" si="27"/>
        <v>0</v>
      </c>
      <c r="N97" s="347">
        <f t="shared" si="28"/>
        <v>0</v>
      </c>
      <c r="O97" s="368"/>
      <c r="P97" s="264"/>
      <c r="Q97" s="265"/>
      <c r="R97" s="266"/>
      <c r="S97" s="266"/>
      <c r="T97" s="266"/>
      <c r="U97" s="266"/>
      <c r="V97" s="266"/>
      <c r="W97" s="365"/>
      <c r="X97" s="366"/>
      <c r="Y97" s="366"/>
      <c r="Z97" s="366"/>
      <c r="AA97" s="367"/>
      <c r="AB97" s="309"/>
      <c r="AC97" s="132"/>
      <c r="AD97" s="136"/>
      <c r="AE97" s="136"/>
      <c r="AF97" s="132"/>
      <c r="AG97" s="13">
        <f t="shared" si="37"/>
        <v>59</v>
      </c>
      <c r="AH97" s="14">
        <f t="shared" si="80"/>
        <v>6126889.6735242</v>
      </c>
      <c r="AI97" s="44">
        <f t="shared" si="44"/>
        <v>60</v>
      </c>
      <c r="AJ97" s="55">
        <f t="shared" si="81"/>
        <v>4913405.9519999996</v>
      </c>
      <c r="AK97" s="59">
        <v>11</v>
      </c>
      <c r="AL97" s="44">
        <f t="shared" si="46"/>
        <v>60</v>
      </c>
      <c r="AM97" s="45">
        <f t="shared" si="39"/>
        <v>50005.097208490661</v>
      </c>
      <c r="AN97" s="44"/>
      <c r="AO97" s="45"/>
      <c r="AP97" s="3"/>
      <c r="AQ97" s="46">
        <f t="shared" si="47"/>
        <v>60</v>
      </c>
      <c r="AR97" s="47">
        <f t="shared" si="40"/>
        <v>35276.070999381329</v>
      </c>
      <c r="AS97" s="46"/>
      <c r="AT97" s="47"/>
      <c r="AV97" s="41">
        <f t="shared" si="7"/>
        <v>0</v>
      </c>
      <c r="AW97" s="41"/>
      <c r="AX97" s="43">
        <f t="shared" si="9"/>
        <v>0</v>
      </c>
      <c r="AY97" s="43"/>
      <c r="AZ97" s="11"/>
      <c r="BA97" s="36">
        <f t="shared" si="68"/>
        <v>60</v>
      </c>
      <c r="BB97" s="35">
        <f t="shared" si="74"/>
        <v>50005.097208490661</v>
      </c>
      <c r="BC97" s="120"/>
      <c r="BD97" s="307">
        <f t="shared" si="69"/>
        <v>60</v>
      </c>
      <c r="BE97" s="303">
        <f t="shared" si="70"/>
        <v>35276.070999381329</v>
      </c>
      <c r="BF97" s="208"/>
      <c r="BG97" s="37">
        <f t="shared" si="50"/>
        <v>60</v>
      </c>
      <c r="BH97" s="8">
        <f t="shared" si="66"/>
        <v>398.96856330239996</v>
      </c>
      <c r="BI97" s="8"/>
      <c r="BJ97" s="37">
        <f t="shared" si="51"/>
        <v>60</v>
      </c>
      <c r="BK97" s="8">
        <f t="shared" si="13"/>
        <v>0</v>
      </c>
      <c r="BL97" s="8"/>
      <c r="BM97" s="4">
        <v>59</v>
      </c>
      <c r="BN97" s="14">
        <f t="shared" si="14"/>
        <v>34038.275964023334</v>
      </c>
      <c r="BO97" s="14">
        <f t="shared" si="15"/>
        <v>8577.6455429338803</v>
      </c>
      <c r="BP97" s="14">
        <f t="shared" si="42"/>
        <v>1372.423286869421</v>
      </c>
      <c r="BQ97" s="14">
        <f t="shared" si="16"/>
        <v>3063.4448367620998</v>
      </c>
      <c r="BR97" s="38">
        <f t="shared" si="67"/>
        <v>47051.789630588741</v>
      </c>
      <c r="BT97" s="4">
        <v>59</v>
      </c>
      <c r="BU97" s="14">
        <f>SUM(BN$39:BN97)</f>
        <v>1671989.8393242557</v>
      </c>
      <c r="BV97" s="14">
        <f>SUM(BO$39:BO97)</f>
        <v>421341.43950971315</v>
      </c>
      <c r="BW97" s="14">
        <f>SUM(BP$39:BP97)</f>
        <v>67414.630321554068</v>
      </c>
      <c r="BX97" s="14">
        <f>SUM(BQ$39:BQ97)</f>
        <v>150479.08553918308</v>
      </c>
      <c r="BY97" s="21">
        <f>SUM(BR$39:BR97)</f>
        <v>2311224.9946947061</v>
      </c>
    </row>
    <row r="98" spans="1:77" ht="18" customHeight="1" x14ac:dyDescent="0.25">
      <c r="A98" s="268"/>
      <c r="B98" s="267">
        <f t="shared" si="52"/>
        <v>60</v>
      </c>
      <c r="C98" s="264">
        <f t="shared" si="43"/>
        <v>61</v>
      </c>
      <c r="D98" s="265">
        <f t="shared" si="19"/>
        <v>50005.097208490661</v>
      </c>
      <c r="E98" s="266">
        <f t="shared" si="20"/>
        <v>38215.379626666661</v>
      </c>
      <c r="F98" s="266">
        <f t="shared" si="59"/>
        <v>6878.7683327999994</v>
      </c>
      <c r="G98" s="266">
        <f t="shared" si="22"/>
        <v>1100.602933248</v>
      </c>
      <c r="H98" s="266">
        <f t="shared" si="23"/>
        <v>2456.702976</v>
      </c>
      <c r="I98" s="266">
        <f t="shared" si="24"/>
        <v>1353.6433397759999</v>
      </c>
      <c r="J98" s="435"/>
      <c r="K98" s="317">
        <f t="shared" si="25"/>
        <v>0</v>
      </c>
      <c r="L98" s="317">
        <f t="shared" si="71"/>
        <v>0</v>
      </c>
      <c r="M98" s="317">
        <f t="shared" si="27"/>
        <v>0</v>
      </c>
      <c r="N98" s="347">
        <f t="shared" si="28"/>
        <v>0</v>
      </c>
      <c r="O98" s="368"/>
      <c r="P98" s="264"/>
      <c r="Q98" s="265"/>
      <c r="R98" s="266"/>
      <c r="S98" s="266"/>
      <c r="T98" s="266"/>
      <c r="U98" s="266"/>
      <c r="V98" s="266"/>
      <c r="W98" s="365"/>
      <c r="X98" s="366"/>
      <c r="Y98" s="366"/>
      <c r="Z98" s="366"/>
      <c r="AA98" s="367"/>
      <c r="AB98" s="309"/>
      <c r="AC98" s="132"/>
      <c r="AD98" s="136"/>
      <c r="AE98" s="136"/>
      <c r="AF98" s="132"/>
      <c r="AG98" s="13">
        <f t="shared" si="37"/>
        <v>60</v>
      </c>
      <c r="AH98" s="14">
        <f t="shared" si="80"/>
        <v>6126889.6735242</v>
      </c>
      <c r="AI98" s="44">
        <f t="shared" si="44"/>
        <v>61</v>
      </c>
      <c r="AJ98" s="55">
        <f t="shared" si="81"/>
        <v>4913405.9519999996</v>
      </c>
      <c r="AK98" s="59">
        <v>12</v>
      </c>
      <c r="AL98" s="44">
        <f t="shared" si="46"/>
        <v>61</v>
      </c>
      <c r="AM98" s="45">
        <f t="shared" si="39"/>
        <v>50005.097208490661</v>
      </c>
      <c r="AN98" s="44"/>
      <c r="AO98" s="45"/>
      <c r="AP98" s="3"/>
      <c r="AQ98" s="46">
        <f t="shared" si="47"/>
        <v>61</v>
      </c>
      <c r="AR98" s="47">
        <f t="shared" si="40"/>
        <v>35276.070999381329</v>
      </c>
      <c r="AS98" s="46"/>
      <c r="AT98" s="47"/>
      <c r="AV98" s="41">
        <f t="shared" si="7"/>
        <v>0</v>
      </c>
      <c r="AW98" s="41"/>
      <c r="AX98" s="49">
        <f t="shared" si="9"/>
        <v>0</v>
      </c>
      <c r="AY98" s="49"/>
      <c r="AZ98" s="11"/>
      <c r="BA98" s="36">
        <f t="shared" si="68"/>
        <v>61</v>
      </c>
      <c r="BB98" s="35">
        <f t="shared" si="74"/>
        <v>50005.097208490661</v>
      </c>
      <c r="BC98" s="120"/>
      <c r="BD98" s="307">
        <f t="shared" si="69"/>
        <v>61</v>
      </c>
      <c r="BE98" s="303">
        <f t="shared" si="70"/>
        <v>35276.070999381329</v>
      </c>
      <c r="BF98" s="208"/>
      <c r="BG98" s="300">
        <f t="shared" si="50"/>
        <v>61</v>
      </c>
      <c r="BH98" s="209">
        <f t="shared" si="66"/>
        <v>398.96856330239996</v>
      </c>
      <c r="BI98" s="8"/>
      <c r="BJ98" s="300">
        <f t="shared" si="51"/>
        <v>61</v>
      </c>
      <c r="BK98" s="209">
        <f t="shared" si="13"/>
        <v>0</v>
      </c>
      <c r="BL98" s="8"/>
      <c r="BM98" s="4">
        <v>60</v>
      </c>
      <c r="BN98" s="14">
        <f t="shared" si="14"/>
        <v>34038.275964023334</v>
      </c>
      <c r="BO98" s="14">
        <f t="shared" si="15"/>
        <v>8577.6455429338803</v>
      </c>
      <c r="BP98" s="14">
        <f t="shared" si="42"/>
        <v>1372.423286869421</v>
      </c>
      <c r="BQ98" s="14">
        <f t="shared" si="16"/>
        <v>3063.4448367620998</v>
      </c>
      <c r="BR98" s="38">
        <f t="shared" si="67"/>
        <v>47051.789630588741</v>
      </c>
      <c r="BT98" s="4">
        <v>60</v>
      </c>
      <c r="BU98" s="14">
        <f>SUM(BN$39:BN98)</f>
        <v>1706028.115288279</v>
      </c>
      <c r="BV98" s="14">
        <f>SUM(BO$39:BO98)</f>
        <v>429919.08505264705</v>
      </c>
      <c r="BW98" s="14">
        <f>SUM(BP$39:BP98)</f>
        <v>68787.053608423492</v>
      </c>
      <c r="BX98" s="14">
        <f>SUM(BQ$39:BQ98)</f>
        <v>153542.53037594518</v>
      </c>
      <c r="BY98" s="21">
        <f>SUM(BR$39:BR98)</f>
        <v>2358276.7843252947</v>
      </c>
    </row>
    <row r="99" spans="1:77" ht="18" customHeight="1" x14ac:dyDescent="0.3">
      <c r="A99" s="268"/>
      <c r="B99" s="168" t="s">
        <v>31</v>
      </c>
      <c r="C99" s="270"/>
      <c r="D99" s="271">
        <f>SUM(D39:D98)</f>
        <v>2778220.3290490871</v>
      </c>
      <c r="E99" s="272">
        <f t="shared" ref="E99:N99" si="87">SUM(E39:E98)</f>
        <v>2123198.4435200002</v>
      </c>
      <c r="F99" s="272">
        <f t="shared" si="87"/>
        <v>382175.71983360004</v>
      </c>
      <c r="G99" s="272">
        <f t="shared" si="87"/>
        <v>61148.115173376063</v>
      </c>
      <c r="H99" s="272">
        <f t="shared" si="87"/>
        <v>136491.32851199998</v>
      </c>
      <c r="I99" s="272">
        <f t="shared" si="87"/>
        <v>75206.722010111931</v>
      </c>
      <c r="J99" s="273">
        <f>SUM(J39:J98)</f>
        <v>0</v>
      </c>
      <c r="K99" s="315">
        <f t="shared" si="87"/>
        <v>0</v>
      </c>
      <c r="L99" s="315">
        <f t="shared" si="87"/>
        <v>0</v>
      </c>
      <c r="M99" s="315">
        <f t="shared" si="87"/>
        <v>0</v>
      </c>
      <c r="N99" s="348">
        <f t="shared" si="87"/>
        <v>0</v>
      </c>
      <c r="O99" s="108"/>
      <c r="P99" s="62"/>
      <c r="Q99" s="271">
        <f>SUM(Q39:Q93)</f>
        <v>3075935.593576734</v>
      </c>
      <c r="R99" s="272">
        <f t="shared" ref="R99:Z99" si="88">SUM(R39:R93)</f>
        <v>2350721.2859842605</v>
      </c>
      <c r="S99" s="272">
        <f t="shared" si="88"/>
        <v>423129.83147716691</v>
      </c>
      <c r="T99" s="272">
        <f t="shared" si="88"/>
        <v>67700.773036346698</v>
      </c>
      <c r="U99" s="272">
        <f t="shared" si="88"/>
        <v>151117.79695613115</v>
      </c>
      <c r="V99" s="272">
        <f t="shared" si="88"/>
        <v>83265.906122828281</v>
      </c>
      <c r="W99" s="273">
        <f t="shared" si="88"/>
        <v>0</v>
      </c>
      <c r="X99" s="315">
        <f t="shared" si="88"/>
        <v>0</v>
      </c>
      <c r="Y99" s="315">
        <f t="shared" si="88"/>
        <v>0</v>
      </c>
      <c r="Z99" s="315">
        <f t="shared" si="88"/>
        <v>0</v>
      </c>
      <c r="AA99" s="348">
        <f>SUM(AA39:AA93)</f>
        <v>0</v>
      </c>
      <c r="AB99" s="95"/>
      <c r="AC99" s="136"/>
      <c r="AD99" s="136"/>
      <c r="AE99" s="136"/>
      <c r="AF99" s="136"/>
      <c r="AG99" s="13">
        <f t="shared" si="37"/>
        <v>61</v>
      </c>
      <c r="AH99" s="14">
        <f t="shared" ref="AH99" si="89">((AH98)+(AH98*$D$29))</f>
        <v>6733451.7512030955</v>
      </c>
      <c r="AI99" s="44">
        <f t="shared" si="44"/>
        <v>62</v>
      </c>
      <c r="AJ99" s="55">
        <f>((AJ98)+(AJ98*$E$29))</f>
        <v>5109942.1900799992</v>
      </c>
      <c r="AK99" s="59">
        <v>1</v>
      </c>
      <c r="AM99" s="88"/>
      <c r="AN99" s="88"/>
      <c r="AO99" s="89"/>
      <c r="AP99" s="3"/>
      <c r="AR99" s="11"/>
      <c r="AS99" s="11"/>
      <c r="AT99" s="11"/>
      <c r="AV99" s="11"/>
      <c r="AW99" s="11"/>
      <c r="AX99" s="48">
        <f>SUM(AX39:AX98)</f>
        <v>0</v>
      </c>
      <c r="AY99" s="48">
        <f>SUM(AY39:AY98)</f>
        <v>0</v>
      </c>
      <c r="AZ99" s="11"/>
      <c r="BA99" s="36">
        <f t="shared" si="68"/>
        <v>62</v>
      </c>
      <c r="BB99" s="35">
        <f t="shared" si="74"/>
        <v>52005.301096830284</v>
      </c>
      <c r="BC99" s="120"/>
      <c r="BD99" s="307">
        <f t="shared" si="69"/>
        <v>62</v>
      </c>
      <c r="BE99" s="303">
        <f t="shared" si="70"/>
        <v>36687.113839356578</v>
      </c>
      <c r="BF99" s="208"/>
      <c r="BG99" s="37">
        <f t="shared" si="50"/>
        <v>62</v>
      </c>
      <c r="BH99" s="8">
        <f t="shared" ref="BH99:BH130" si="90">VLOOKUP(BA99,$AI$39:$AJ$158,2,0)*($G$15*1.16)*5%*(IF(Q39/BB99=1,1,Q39/BB99))</f>
        <v>414.92730583449588</v>
      </c>
      <c r="BI99" s="8"/>
      <c r="BJ99" s="37">
        <f t="shared" si="51"/>
        <v>62</v>
      </c>
      <c r="BK99" s="8">
        <f t="shared" ref="BK99:BK153" si="91">IF(BH99=0,0,(AJ99/$B$10+AJ99*$G$15*1.16)-BE99)*(IF(Q39/BB99=1,1,Q39/BB99))*AY39</f>
        <v>0</v>
      </c>
      <c r="BL99" s="8"/>
      <c r="BM99" s="4">
        <v>61</v>
      </c>
      <c r="BN99" s="14">
        <f t="shared" ref="BN99:BN109" si="92">AH99/$B$10</f>
        <v>37408.065284461642</v>
      </c>
      <c r="BO99" s="14">
        <f t="shared" ref="BO99:BO109" si="93">AH99*$G$15*(100%-$BB$26-$BB$28)</f>
        <v>9426.8324516843331</v>
      </c>
      <c r="BP99" s="14">
        <f t="shared" ref="BP99:BP109" si="94">BO99*0.16</f>
        <v>1508.2931922694934</v>
      </c>
      <c r="BQ99" s="14">
        <f t="shared" ref="BQ99:BQ109" si="95">AH99*$I$15</f>
        <v>3366.7258756015476</v>
      </c>
      <c r="BR99" s="38">
        <f t="shared" ref="BR99:BR109" si="96">SUM(BN99:BQ99)</f>
        <v>51709.916804017019</v>
      </c>
      <c r="BT99" s="4">
        <v>61</v>
      </c>
      <c r="BU99" s="14">
        <f>SUM(BN$39:BN99)</f>
        <v>1743436.1805727407</v>
      </c>
      <c r="BV99" s="14">
        <f>SUM(BO$39:BO99)</f>
        <v>439345.91750433139</v>
      </c>
      <c r="BW99" s="14">
        <f>SUM(BP$39:BP99)</f>
        <v>70295.346800692991</v>
      </c>
      <c r="BX99" s="14">
        <f>SUM(BQ$39:BQ99)</f>
        <v>156909.25625154673</v>
      </c>
      <c r="BY99" s="21">
        <f>SUM(BR$39:BR99)</f>
        <v>2409986.7011293117</v>
      </c>
    </row>
    <row r="100" spans="1:77" ht="18" customHeight="1" x14ac:dyDescent="0.25">
      <c r="A100" s="268"/>
      <c r="B100" s="210"/>
      <c r="C100" s="210"/>
      <c r="D100" s="292" t="s">
        <v>41</v>
      </c>
      <c r="E100" s="108"/>
      <c r="F100" s="108"/>
      <c r="G100" s="108"/>
      <c r="H100" s="108"/>
      <c r="I100" s="108"/>
      <c r="J100" s="293" t="s">
        <v>2</v>
      </c>
      <c r="K100" s="210"/>
      <c r="L100" s="210"/>
      <c r="M100" s="62"/>
      <c r="N100" s="349" t="s">
        <v>123</v>
      </c>
      <c r="O100" s="108"/>
      <c r="P100" s="62"/>
      <c r="Q100" s="292" t="s">
        <v>41</v>
      </c>
      <c r="R100" s="108"/>
      <c r="S100" s="62"/>
      <c r="T100" s="108"/>
      <c r="U100" s="108"/>
      <c r="W100" s="293" t="s">
        <v>2</v>
      </c>
      <c r="X100" s="108"/>
      <c r="Y100" s="108"/>
      <c r="Z100" s="108"/>
      <c r="AA100" s="349" t="s">
        <v>123</v>
      </c>
      <c r="AB100" s="95"/>
      <c r="AC100" s="132"/>
      <c r="AD100" s="132"/>
      <c r="AE100" s="132"/>
      <c r="AF100" s="132"/>
      <c r="AG100" s="13">
        <f t="shared" si="37"/>
        <v>62</v>
      </c>
      <c r="AH100" s="14">
        <f>AH99</f>
        <v>6733451.7512030955</v>
      </c>
      <c r="AI100" s="44">
        <f t="shared" si="44"/>
        <v>63</v>
      </c>
      <c r="AJ100" s="55">
        <f>AJ99</f>
        <v>5109942.1900799992</v>
      </c>
      <c r="AK100" s="59">
        <v>2</v>
      </c>
      <c r="AN100" s="13"/>
      <c r="AO100" s="11"/>
      <c r="AP100" s="3"/>
      <c r="AR100" s="11"/>
      <c r="AS100" s="11"/>
      <c r="AT100" s="11"/>
      <c r="AV100" s="11"/>
      <c r="AW100" s="11"/>
      <c r="AX100" s="40"/>
      <c r="AY100" s="11"/>
      <c r="AZ100" s="11"/>
      <c r="BA100" s="36">
        <f t="shared" si="68"/>
        <v>63</v>
      </c>
      <c r="BB100" s="35">
        <f t="shared" si="74"/>
        <v>52005.301096830284</v>
      </c>
      <c r="BC100" s="120"/>
      <c r="BD100" s="307">
        <f t="shared" si="69"/>
        <v>63</v>
      </c>
      <c r="BE100" s="303">
        <f t="shared" si="70"/>
        <v>36687.113839356578</v>
      </c>
      <c r="BF100" s="208"/>
      <c r="BG100" s="37">
        <f t="shared" si="50"/>
        <v>63</v>
      </c>
      <c r="BH100" s="8">
        <f t="shared" si="90"/>
        <v>414.92730583449588</v>
      </c>
      <c r="BI100" s="8"/>
      <c r="BJ100" s="37">
        <f t="shared" si="51"/>
        <v>63</v>
      </c>
      <c r="BK100" s="8">
        <f t="shared" si="91"/>
        <v>0</v>
      </c>
      <c r="BL100" s="8"/>
      <c r="BM100" s="4">
        <v>62</v>
      </c>
      <c r="BN100" s="14">
        <f t="shared" si="92"/>
        <v>37408.065284461642</v>
      </c>
      <c r="BO100" s="14">
        <f t="shared" si="93"/>
        <v>9426.8324516843331</v>
      </c>
      <c r="BP100" s="14">
        <f t="shared" si="94"/>
        <v>1508.2931922694934</v>
      </c>
      <c r="BQ100" s="14">
        <f t="shared" si="95"/>
        <v>3366.7258756015476</v>
      </c>
      <c r="BR100" s="38">
        <f t="shared" si="96"/>
        <v>51709.916804017019</v>
      </c>
      <c r="BT100" s="4">
        <v>62</v>
      </c>
      <c r="BU100" s="14">
        <f>SUM(BN$39:BN100)</f>
        <v>1780844.2458572024</v>
      </c>
      <c r="BV100" s="14">
        <f>SUM(BO$39:BO100)</f>
        <v>448772.74995601573</v>
      </c>
      <c r="BW100" s="14">
        <f>SUM(BP$39:BP100)</f>
        <v>71803.639992962489</v>
      </c>
      <c r="BX100" s="14">
        <f>SUM(BQ$39:BQ100)</f>
        <v>160275.98212714828</v>
      </c>
      <c r="BY100" s="21">
        <f>SUM(BR$39:BR100)</f>
        <v>2461696.6179333287</v>
      </c>
    </row>
    <row r="101" spans="1:77" ht="18" customHeight="1" thickBot="1" x14ac:dyDescent="0.3">
      <c r="A101" s="268"/>
      <c r="B101" s="274" t="s">
        <v>82</v>
      </c>
      <c r="C101" s="210"/>
      <c r="D101" s="210"/>
      <c r="E101" s="210"/>
      <c r="F101" s="210"/>
      <c r="G101" s="210"/>
      <c r="H101" s="210"/>
      <c r="I101" s="210"/>
      <c r="J101" s="108"/>
      <c r="K101" s="108"/>
      <c r="L101" s="108"/>
      <c r="M101" s="108"/>
      <c r="N101" s="108"/>
      <c r="O101" s="108"/>
      <c r="P101" s="108"/>
      <c r="Q101" s="108"/>
      <c r="R101" s="108"/>
      <c r="S101" s="86"/>
      <c r="T101" s="86"/>
      <c r="U101" s="86"/>
      <c r="V101" s="86"/>
      <c r="W101" s="86"/>
      <c r="X101" s="86"/>
      <c r="Y101" s="86"/>
      <c r="Z101" s="86"/>
      <c r="AA101" s="86"/>
      <c r="AB101" s="95"/>
      <c r="AC101" s="132"/>
      <c r="AD101" s="132"/>
      <c r="AE101" s="132"/>
      <c r="AF101" s="132"/>
      <c r="AG101" s="13">
        <f t="shared" si="37"/>
        <v>63</v>
      </c>
      <c r="AH101" s="14">
        <f t="shared" ref="AH101:AH103" si="97">AH100</f>
        <v>6733451.7512030955</v>
      </c>
      <c r="AI101" s="44">
        <f t="shared" si="44"/>
        <v>64</v>
      </c>
      <c r="AJ101" s="55">
        <f>AJ100</f>
        <v>5109942.1900799992</v>
      </c>
      <c r="AK101" s="59">
        <v>3</v>
      </c>
      <c r="AN101" s="13"/>
      <c r="AO101" s="50">
        <f>TRUNC(R104)</f>
        <v>115</v>
      </c>
      <c r="AP101" s="7" t="s">
        <v>12</v>
      </c>
      <c r="AR101" s="11"/>
      <c r="AS101" s="11"/>
      <c r="AT101" s="11"/>
      <c r="AV101" s="11"/>
      <c r="AW101" s="11"/>
      <c r="AZ101" s="11"/>
      <c r="BA101" s="36">
        <f t="shared" si="68"/>
        <v>64</v>
      </c>
      <c r="BB101" s="35">
        <f t="shared" si="74"/>
        <v>52005.301096830284</v>
      </c>
      <c r="BC101" s="120"/>
      <c r="BD101" s="307">
        <f t="shared" si="69"/>
        <v>64</v>
      </c>
      <c r="BE101" s="303">
        <f t="shared" si="70"/>
        <v>36687.113839356578</v>
      </c>
      <c r="BF101" s="208"/>
      <c r="BG101" s="37">
        <f t="shared" si="50"/>
        <v>64</v>
      </c>
      <c r="BH101" s="8">
        <f t="shared" si="90"/>
        <v>414.92730583449588</v>
      </c>
      <c r="BI101" s="8"/>
      <c r="BJ101" s="37">
        <f t="shared" si="51"/>
        <v>64</v>
      </c>
      <c r="BK101" s="8">
        <f t="shared" si="91"/>
        <v>0</v>
      </c>
      <c r="BL101" s="8"/>
      <c r="BM101" s="4">
        <v>63</v>
      </c>
      <c r="BN101" s="14">
        <f t="shared" si="92"/>
        <v>37408.065284461642</v>
      </c>
      <c r="BO101" s="14">
        <f t="shared" si="93"/>
        <v>9426.8324516843331</v>
      </c>
      <c r="BP101" s="14">
        <f t="shared" si="94"/>
        <v>1508.2931922694934</v>
      </c>
      <c r="BQ101" s="14">
        <f t="shared" si="95"/>
        <v>3366.7258756015476</v>
      </c>
      <c r="BR101" s="38">
        <f t="shared" si="96"/>
        <v>51709.916804017019</v>
      </c>
      <c r="BT101" s="4">
        <v>63</v>
      </c>
      <c r="BU101" s="14">
        <f>SUM(BN$39:BN101)</f>
        <v>1818252.3111416642</v>
      </c>
      <c r="BV101" s="14">
        <f>SUM(BO$39:BO101)</f>
        <v>458199.58240770007</v>
      </c>
      <c r="BW101" s="14">
        <f>SUM(BP$39:BP101)</f>
        <v>73311.933185231988</v>
      </c>
      <c r="BX101" s="14">
        <f>SUM(BQ$39:BQ101)</f>
        <v>163642.70800274983</v>
      </c>
      <c r="BY101" s="21">
        <f>SUM(BR$39:BR101)</f>
        <v>2513406.5347373458</v>
      </c>
    </row>
    <row r="102" spans="1:77" ht="18" customHeight="1" x14ac:dyDescent="0.25">
      <c r="A102" s="268"/>
      <c r="B102" s="585" t="s">
        <v>81</v>
      </c>
      <c r="C102" s="585"/>
      <c r="D102" s="585"/>
      <c r="E102" s="585"/>
      <c r="F102" s="585"/>
      <c r="G102" s="585"/>
      <c r="H102" s="585"/>
      <c r="I102" s="108"/>
      <c r="J102" s="108"/>
      <c r="K102" s="108"/>
      <c r="L102" s="354"/>
      <c r="M102" s="108"/>
      <c r="N102" s="108"/>
      <c r="O102" s="108"/>
      <c r="P102" s="275" t="s">
        <v>35</v>
      </c>
      <c r="Q102" s="276"/>
      <c r="R102" s="277">
        <f>E19</f>
        <v>65</v>
      </c>
      <c r="S102" s="86"/>
      <c r="T102" s="86"/>
      <c r="U102" s="86"/>
      <c r="V102" s="86"/>
      <c r="W102" s="86"/>
      <c r="X102" s="86"/>
      <c r="Y102" s="86"/>
      <c r="Z102" s="86"/>
      <c r="AA102" s="86"/>
      <c r="AB102" s="95"/>
      <c r="AC102" s="132"/>
      <c r="AD102" s="132"/>
      <c r="AE102" s="132"/>
      <c r="AF102" s="132"/>
      <c r="AG102" s="13">
        <f t="shared" si="37"/>
        <v>64</v>
      </c>
      <c r="AH102" s="14">
        <f t="shared" si="97"/>
        <v>6733451.7512030955</v>
      </c>
      <c r="AI102" s="44">
        <f t="shared" si="44"/>
        <v>65</v>
      </c>
      <c r="AJ102" s="55">
        <f>AJ101</f>
        <v>5109942.1900799992</v>
      </c>
      <c r="AK102" s="59">
        <v>4</v>
      </c>
      <c r="AN102" s="13"/>
      <c r="AO102" s="50">
        <f>+R104-AO101</f>
        <v>0</v>
      </c>
      <c r="AP102" s="7" t="s">
        <v>14</v>
      </c>
      <c r="AR102" s="11"/>
      <c r="AS102" s="11"/>
      <c r="AT102" s="11"/>
      <c r="AV102" s="11"/>
      <c r="AW102" s="11"/>
      <c r="AZ102" s="11"/>
      <c r="BA102" s="36">
        <f t="shared" si="68"/>
        <v>65</v>
      </c>
      <c r="BB102" s="35">
        <f t="shared" si="74"/>
        <v>52005.301096830284</v>
      </c>
      <c r="BC102" s="120"/>
      <c r="BD102" s="307">
        <f t="shared" si="69"/>
        <v>65</v>
      </c>
      <c r="BE102" s="303">
        <f t="shared" si="70"/>
        <v>36687.113839356578</v>
      </c>
      <c r="BF102" s="208"/>
      <c r="BG102" s="37">
        <f t="shared" si="50"/>
        <v>65</v>
      </c>
      <c r="BH102" s="8">
        <f t="shared" si="90"/>
        <v>414.92730583449588</v>
      </c>
      <c r="BI102" s="8"/>
      <c r="BJ102" s="37">
        <f t="shared" si="51"/>
        <v>65</v>
      </c>
      <c r="BK102" s="8">
        <f t="shared" si="91"/>
        <v>0</v>
      </c>
      <c r="BL102" s="8"/>
      <c r="BM102" s="4">
        <v>64</v>
      </c>
      <c r="BN102" s="14">
        <f t="shared" si="92"/>
        <v>37408.065284461642</v>
      </c>
      <c r="BO102" s="14">
        <f t="shared" si="93"/>
        <v>9426.8324516843331</v>
      </c>
      <c r="BP102" s="14">
        <f t="shared" si="94"/>
        <v>1508.2931922694934</v>
      </c>
      <c r="BQ102" s="14">
        <f t="shared" si="95"/>
        <v>3366.7258756015476</v>
      </c>
      <c r="BR102" s="38">
        <f t="shared" si="96"/>
        <v>51709.916804017019</v>
      </c>
      <c r="BT102" s="4">
        <v>64</v>
      </c>
      <c r="BU102" s="14">
        <f>SUM(BN$39:BN102)</f>
        <v>1855660.3764261259</v>
      </c>
      <c r="BV102" s="14">
        <f>SUM(BO$39:BO102)</f>
        <v>467626.41485938441</v>
      </c>
      <c r="BW102" s="14">
        <f>SUM(BP$39:BP102)</f>
        <v>74820.226377501487</v>
      </c>
      <c r="BX102" s="14">
        <f>SUM(BQ$39:BQ102)</f>
        <v>167009.43387835138</v>
      </c>
      <c r="BY102" s="21">
        <f>SUM(BR$39:BR102)</f>
        <v>2565116.4515413628</v>
      </c>
    </row>
    <row r="103" spans="1:77" ht="18" customHeight="1" x14ac:dyDescent="0.25">
      <c r="A103" s="268"/>
      <c r="B103" s="585"/>
      <c r="C103" s="585"/>
      <c r="D103" s="585"/>
      <c r="E103" s="585"/>
      <c r="F103" s="585"/>
      <c r="G103" s="585"/>
      <c r="H103" s="585"/>
      <c r="I103" s="108"/>
      <c r="J103" s="108"/>
      <c r="K103" s="108"/>
      <c r="L103" s="108"/>
      <c r="M103" s="108"/>
      <c r="N103" s="108"/>
      <c r="O103" s="108"/>
      <c r="P103" s="278" t="s">
        <v>13</v>
      </c>
      <c r="Q103" s="210"/>
      <c r="R103" s="279">
        <f>SUM(AX99:AY99)</f>
        <v>0</v>
      </c>
      <c r="S103" s="86"/>
      <c r="T103" s="86"/>
      <c r="U103" s="86"/>
      <c r="V103" s="86"/>
      <c r="W103" s="86"/>
      <c r="X103" s="86"/>
      <c r="Y103" s="86"/>
      <c r="Z103" s="86"/>
      <c r="AA103" s="86"/>
      <c r="AB103" s="95"/>
      <c r="AC103" s="132"/>
      <c r="AD103" s="132"/>
      <c r="AE103" s="132"/>
      <c r="AF103" s="132"/>
      <c r="AG103" s="13">
        <f t="shared" si="37"/>
        <v>65</v>
      </c>
      <c r="AH103" s="14">
        <f t="shared" si="97"/>
        <v>6733451.7512030955</v>
      </c>
      <c r="AI103" s="44">
        <f t="shared" si="44"/>
        <v>66</v>
      </c>
      <c r="AJ103" s="55">
        <f t="shared" ref="AJ103:AJ128" si="98">AJ102</f>
        <v>5109942.1900799992</v>
      </c>
      <c r="AK103" s="59">
        <v>5</v>
      </c>
      <c r="AN103" s="13"/>
      <c r="AO103" s="11"/>
      <c r="AP103" s="3"/>
      <c r="AR103" s="11"/>
      <c r="AS103" s="11"/>
      <c r="AT103" s="11"/>
      <c r="AV103" s="11"/>
      <c r="AW103" s="11"/>
      <c r="AX103" s="40"/>
      <c r="AY103" s="11"/>
      <c r="AZ103" s="11"/>
      <c r="BA103" s="36">
        <f t="shared" si="68"/>
        <v>66</v>
      </c>
      <c r="BB103" s="35">
        <f t="shared" si="74"/>
        <v>52005.301096830284</v>
      </c>
      <c r="BC103" s="120"/>
      <c r="BD103" s="307">
        <f t="shared" si="69"/>
        <v>66</v>
      </c>
      <c r="BE103" s="303">
        <f t="shared" si="70"/>
        <v>36687.113839356578</v>
      </c>
      <c r="BF103" s="208"/>
      <c r="BG103" s="37">
        <f t="shared" si="50"/>
        <v>66</v>
      </c>
      <c r="BH103" s="8">
        <f t="shared" si="90"/>
        <v>414.92730583449588</v>
      </c>
      <c r="BI103" s="8"/>
      <c r="BJ103" s="37">
        <f t="shared" si="51"/>
        <v>66</v>
      </c>
      <c r="BK103" s="8">
        <f t="shared" si="91"/>
        <v>0</v>
      </c>
      <c r="BL103" s="8"/>
      <c r="BM103" s="4">
        <v>65</v>
      </c>
      <c r="BN103" s="14">
        <f t="shared" si="92"/>
        <v>37408.065284461642</v>
      </c>
      <c r="BO103" s="14">
        <f t="shared" si="93"/>
        <v>9426.8324516843331</v>
      </c>
      <c r="BP103" s="14">
        <f t="shared" si="94"/>
        <v>1508.2931922694934</v>
      </c>
      <c r="BQ103" s="14">
        <f t="shared" si="95"/>
        <v>3366.7258756015476</v>
      </c>
      <c r="BR103" s="38">
        <f t="shared" si="96"/>
        <v>51709.916804017019</v>
      </c>
      <c r="BT103" s="4">
        <v>65</v>
      </c>
      <c r="BU103" s="14">
        <f>SUM(BN$39:BN103)</f>
        <v>1893068.4417105876</v>
      </c>
      <c r="BV103" s="14">
        <f>SUM(BO$39:BO103)</f>
        <v>477053.24731106876</v>
      </c>
      <c r="BW103" s="14">
        <f>SUM(BP$39:BP103)</f>
        <v>76328.519569770986</v>
      </c>
      <c r="BX103" s="14">
        <f>SUM(BQ$39:BQ103)</f>
        <v>170376.15975395293</v>
      </c>
      <c r="BY103" s="21">
        <f>SUM(BR$39:BR103)</f>
        <v>2616826.3683453798</v>
      </c>
    </row>
    <row r="104" spans="1:77" ht="18" customHeight="1" x14ac:dyDescent="0.25">
      <c r="A104" s="268"/>
      <c r="B104" s="585"/>
      <c r="C104" s="585"/>
      <c r="D104" s="585"/>
      <c r="E104" s="585"/>
      <c r="F104" s="585"/>
      <c r="G104" s="585"/>
      <c r="H104" s="585"/>
      <c r="I104" s="108"/>
      <c r="J104" s="108"/>
      <c r="K104" s="108"/>
      <c r="L104" s="108"/>
      <c r="M104" s="108"/>
      <c r="N104" s="108"/>
      <c r="O104" s="108"/>
      <c r="P104" s="278" t="s">
        <v>43</v>
      </c>
      <c r="Q104" s="210"/>
      <c r="R104" s="280">
        <f>B10-E19-R103</f>
        <v>115</v>
      </c>
      <c r="S104" s="86"/>
      <c r="T104" s="86"/>
      <c r="U104" s="86"/>
      <c r="V104" s="86"/>
      <c r="W104" s="86"/>
      <c r="X104" s="86"/>
      <c r="Y104" s="86"/>
      <c r="Z104" s="86"/>
      <c r="AA104" s="86"/>
      <c r="AB104" s="95"/>
      <c r="AC104" s="132"/>
      <c r="AD104" s="132"/>
      <c r="AE104" s="132"/>
      <c r="AF104" s="132"/>
      <c r="AG104" s="13"/>
      <c r="AH104" s="14"/>
      <c r="AI104" s="44">
        <f t="shared" si="44"/>
        <v>67</v>
      </c>
      <c r="AJ104" s="55">
        <f t="shared" si="98"/>
        <v>5109942.1900799992</v>
      </c>
      <c r="AK104" s="59">
        <v>6</v>
      </c>
      <c r="AN104" s="13"/>
      <c r="AO104" s="11"/>
      <c r="AP104" s="3"/>
      <c r="AR104" s="11"/>
      <c r="AS104" s="11"/>
      <c r="AT104" s="11"/>
      <c r="AV104" s="11"/>
      <c r="AW104" s="11"/>
      <c r="AX104" s="40"/>
      <c r="AY104" s="11"/>
      <c r="AZ104" s="11"/>
      <c r="BA104" s="36">
        <f t="shared" si="68"/>
        <v>67</v>
      </c>
      <c r="BB104" s="35">
        <f t="shared" si="74"/>
        <v>52005.301096830284</v>
      </c>
      <c r="BC104" s="120"/>
      <c r="BD104" s="307">
        <f t="shared" si="69"/>
        <v>67</v>
      </c>
      <c r="BE104" s="303">
        <f t="shared" si="70"/>
        <v>36687.113839356578</v>
      </c>
      <c r="BF104" s="208"/>
      <c r="BG104" s="37">
        <f t="shared" si="50"/>
        <v>67</v>
      </c>
      <c r="BH104" s="8">
        <f t="shared" si="90"/>
        <v>414.92730583449588</v>
      </c>
      <c r="BI104" s="8"/>
      <c r="BJ104" s="37">
        <f t="shared" si="51"/>
        <v>67</v>
      </c>
      <c r="BK104" s="8">
        <f t="shared" si="91"/>
        <v>0</v>
      </c>
      <c r="BL104" s="8"/>
      <c r="BM104" s="4">
        <v>66</v>
      </c>
      <c r="BN104" s="14">
        <f t="shared" si="92"/>
        <v>0</v>
      </c>
      <c r="BO104" s="14">
        <f t="shared" si="93"/>
        <v>0</v>
      </c>
      <c r="BP104" s="14">
        <f t="shared" si="94"/>
        <v>0</v>
      </c>
      <c r="BQ104" s="14">
        <f t="shared" si="95"/>
        <v>0</v>
      </c>
      <c r="BR104" s="38">
        <f t="shared" si="96"/>
        <v>0</v>
      </c>
      <c r="BT104" s="4">
        <v>66</v>
      </c>
      <c r="BU104" s="14">
        <f>SUM(BN$39:BN104)</f>
        <v>1893068.4417105876</v>
      </c>
      <c r="BV104" s="14">
        <f>SUM(BO$39:BO104)</f>
        <v>477053.24731106876</v>
      </c>
      <c r="BW104" s="14">
        <f>SUM(BP$39:BP104)</f>
        <v>76328.519569770986</v>
      </c>
      <c r="BX104" s="14">
        <f>SUM(BQ$39:BQ104)</f>
        <v>170376.15975395293</v>
      </c>
      <c r="BY104" s="21">
        <f>SUM(BR$39:BR104)</f>
        <v>2616826.3683453798</v>
      </c>
    </row>
    <row r="105" spans="1:77" ht="18" customHeight="1" thickBot="1" x14ac:dyDescent="0.3">
      <c r="A105" s="268"/>
      <c r="B105" s="585"/>
      <c r="C105" s="585"/>
      <c r="D105" s="585"/>
      <c r="E105" s="585"/>
      <c r="F105" s="585"/>
      <c r="G105" s="585"/>
      <c r="H105" s="585"/>
      <c r="I105" s="108"/>
      <c r="J105" s="108"/>
      <c r="K105" s="108"/>
      <c r="L105" s="108"/>
      <c r="M105" s="108"/>
      <c r="N105" s="108"/>
      <c r="O105" s="108"/>
      <c r="P105" s="281"/>
      <c r="Q105" s="282"/>
      <c r="R105" s="283">
        <f>SUM(R102:R104)</f>
        <v>180</v>
      </c>
      <c r="S105" s="86"/>
      <c r="T105" s="86"/>
      <c r="U105" s="86"/>
      <c r="V105" s="86"/>
      <c r="W105" s="86"/>
      <c r="X105" s="86"/>
      <c r="Y105" s="86"/>
      <c r="Z105" s="86"/>
      <c r="AA105" s="86"/>
      <c r="AB105" s="95"/>
      <c r="AC105" s="132"/>
      <c r="AD105" s="132"/>
      <c r="AE105" s="132"/>
      <c r="AF105" s="132"/>
      <c r="AG105" s="13"/>
      <c r="AH105" s="14"/>
      <c r="AI105" s="44">
        <f t="shared" ref="AI105:AI153" si="99">AI104+1</f>
        <v>68</v>
      </c>
      <c r="AJ105" s="55">
        <f t="shared" si="98"/>
        <v>5109942.1900799992</v>
      </c>
      <c r="AK105" s="59">
        <v>7</v>
      </c>
      <c r="AN105"/>
      <c r="AO105"/>
      <c r="AP105"/>
      <c r="AQ105"/>
      <c r="AR105"/>
      <c r="AS105"/>
      <c r="AT105"/>
      <c r="AU105"/>
      <c r="AV105"/>
      <c r="AW105"/>
      <c r="AX105"/>
      <c r="AY105" s="11"/>
      <c r="AZ105" s="11"/>
      <c r="BA105" s="36">
        <f t="shared" si="68"/>
        <v>68</v>
      </c>
      <c r="BB105" s="35">
        <f t="shared" si="74"/>
        <v>52005.301096830284</v>
      </c>
      <c r="BC105" s="120"/>
      <c r="BD105" s="307">
        <f t="shared" si="69"/>
        <v>68</v>
      </c>
      <c r="BE105" s="303">
        <f t="shared" si="70"/>
        <v>36687.113839356578</v>
      </c>
      <c r="BF105" s="208"/>
      <c r="BG105" s="37">
        <f t="shared" ref="BG105:BG153" si="100">BG104+1</f>
        <v>68</v>
      </c>
      <c r="BH105" s="8">
        <f t="shared" si="90"/>
        <v>414.92730583449588</v>
      </c>
      <c r="BI105" s="8"/>
      <c r="BJ105" s="37">
        <f t="shared" ref="BJ105:BJ153" si="101">BJ104+1</f>
        <v>68</v>
      </c>
      <c r="BK105" s="8">
        <f t="shared" si="91"/>
        <v>0</v>
      </c>
      <c r="BL105" s="8"/>
      <c r="BM105" s="4">
        <v>67</v>
      </c>
      <c r="BN105" s="14">
        <f t="shared" si="92"/>
        <v>0</v>
      </c>
      <c r="BO105" s="14">
        <f t="shared" si="93"/>
        <v>0</v>
      </c>
      <c r="BP105" s="14">
        <f t="shared" si="94"/>
        <v>0</v>
      </c>
      <c r="BQ105" s="14">
        <f t="shared" si="95"/>
        <v>0</v>
      </c>
      <c r="BR105" s="38">
        <f t="shared" si="96"/>
        <v>0</v>
      </c>
      <c r="BT105" s="4">
        <v>67</v>
      </c>
      <c r="BU105" s="14">
        <f>SUM(BN$39:BN105)</f>
        <v>1893068.4417105876</v>
      </c>
      <c r="BV105" s="14">
        <f>SUM(BO$39:BO105)</f>
        <v>477053.24731106876</v>
      </c>
      <c r="BW105" s="14">
        <f>SUM(BP$39:BP105)</f>
        <v>76328.519569770986</v>
      </c>
      <c r="BX105" s="14">
        <f>SUM(BQ$39:BQ105)</f>
        <v>170376.15975395293</v>
      </c>
      <c r="BY105" s="21">
        <f>SUM(BR$39:BR105)</f>
        <v>2616826.3683453798</v>
      </c>
    </row>
    <row r="106" spans="1:77" ht="18" customHeight="1" x14ac:dyDescent="0.25">
      <c r="A106" s="284"/>
      <c r="B106" s="285"/>
      <c r="C106" s="285"/>
      <c r="D106" s="285"/>
      <c r="E106" s="285"/>
      <c r="F106" s="112"/>
      <c r="G106" s="112"/>
      <c r="H106" s="112"/>
      <c r="I106" s="112"/>
      <c r="J106" s="111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3"/>
      <c r="AC106" s="132"/>
      <c r="AD106" s="132"/>
      <c r="AE106" s="132"/>
      <c r="AF106" s="132"/>
      <c r="AG106" s="13"/>
      <c r="AH106" s="14"/>
      <c r="AI106" s="44">
        <f t="shared" si="99"/>
        <v>69</v>
      </c>
      <c r="AJ106" s="55">
        <f t="shared" si="98"/>
        <v>5109942.1900799992</v>
      </c>
      <c r="AK106" s="59">
        <v>8</v>
      </c>
      <c r="AN106"/>
      <c r="AO106"/>
      <c r="AP106"/>
      <c r="AQ106"/>
      <c r="AR106"/>
      <c r="AS106"/>
      <c r="AT106"/>
      <c r="AU106"/>
      <c r="AV106"/>
      <c r="AW106"/>
      <c r="AX106"/>
      <c r="AY106" s="11"/>
      <c r="AZ106" s="11"/>
      <c r="BA106" s="36">
        <f t="shared" si="68"/>
        <v>69</v>
      </c>
      <c r="BB106" s="35">
        <f t="shared" si="74"/>
        <v>52005.301096830284</v>
      </c>
      <c r="BC106" s="120"/>
      <c r="BD106" s="307">
        <f t="shared" si="69"/>
        <v>69</v>
      </c>
      <c r="BE106" s="303">
        <f t="shared" si="70"/>
        <v>36687.113839356578</v>
      </c>
      <c r="BF106" s="208"/>
      <c r="BG106" s="37">
        <f t="shared" si="100"/>
        <v>69</v>
      </c>
      <c r="BH106" s="8">
        <f t="shared" si="90"/>
        <v>414.92730583449588</v>
      </c>
      <c r="BI106" s="8"/>
      <c r="BJ106" s="37">
        <f t="shared" si="101"/>
        <v>69</v>
      </c>
      <c r="BK106" s="8">
        <f t="shared" si="91"/>
        <v>0</v>
      </c>
      <c r="BL106" s="8"/>
      <c r="BM106" s="4">
        <v>68</v>
      </c>
      <c r="BN106" s="14">
        <f t="shared" si="92"/>
        <v>0</v>
      </c>
      <c r="BO106" s="14">
        <f t="shared" si="93"/>
        <v>0</v>
      </c>
      <c r="BP106" s="14">
        <f t="shared" si="94"/>
        <v>0</v>
      </c>
      <c r="BQ106" s="14">
        <f t="shared" si="95"/>
        <v>0</v>
      </c>
      <c r="BR106" s="38">
        <f t="shared" si="96"/>
        <v>0</v>
      </c>
      <c r="BT106" s="4">
        <v>68</v>
      </c>
      <c r="BU106" s="14">
        <f>SUM(BN$39:BN106)</f>
        <v>1893068.4417105876</v>
      </c>
      <c r="BV106" s="14">
        <f>SUM(BO$39:BO106)</f>
        <v>477053.24731106876</v>
      </c>
      <c r="BW106" s="14">
        <f>SUM(BP$39:BP106)</f>
        <v>76328.519569770986</v>
      </c>
      <c r="BX106" s="14">
        <f>SUM(BQ$39:BQ106)</f>
        <v>170376.15975395293</v>
      </c>
      <c r="BY106" s="21">
        <f>SUM(BR$39:BR106)</f>
        <v>2616826.3683453798</v>
      </c>
    </row>
    <row r="107" spans="1:77" ht="13.8" x14ac:dyDescent="0.25">
      <c r="B107" s="131"/>
      <c r="C107" s="131"/>
      <c r="D107" s="131"/>
      <c r="E107" s="131"/>
      <c r="F107" s="131"/>
      <c r="G107" s="131"/>
      <c r="H107" s="131"/>
      <c r="I107" s="134"/>
      <c r="J107" s="134"/>
      <c r="K107" s="134"/>
      <c r="L107" s="134"/>
      <c r="M107" s="134"/>
      <c r="N107" s="134"/>
      <c r="O107" s="134"/>
      <c r="P107" s="134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2"/>
      <c r="AD107" s="132"/>
      <c r="AE107" s="132"/>
      <c r="AF107" s="132"/>
      <c r="AG107" s="13"/>
      <c r="AH107" s="14"/>
      <c r="AI107" s="44">
        <f t="shared" si="99"/>
        <v>70</v>
      </c>
      <c r="AJ107" s="55">
        <f t="shared" si="98"/>
        <v>5109942.1900799992</v>
      </c>
      <c r="AK107" s="59">
        <v>9</v>
      </c>
      <c r="AN107"/>
      <c r="AO107"/>
      <c r="AP107"/>
      <c r="AQ107"/>
      <c r="AR107"/>
      <c r="AS107"/>
      <c r="AT107"/>
      <c r="AU107"/>
      <c r="AV107"/>
      <c r="AW107"/>
      <c r="AX107"/>
      <c r="AY107" s="11"/>
      <c r="AZ107" s="11"/>
      <c r="BA107" s="36">
        <f t="shared" si="68"/>
        <v>70</v>
      </c>
      <c r="BB107" s="35">
        <f t="shared" si="74"/>
        <v>52005.301096830284</v>
      </c>
      <c r="BC107" s="120"/>
      <c r="BD107" s="307">
        <f t="shared" si="69"/>
        <v>70</v>
      </c>
      <c r="BE107" s="303">
        <f t="shared" si="70"/>
        <v>36687.113839356578</v>
      </c>
      <c r="BF107" s="208"/>
      <c r="BG107" s="37">
        <f t="shared" si="100"/>
        <v>70</v>
      </c>
      <c r="BH107" s="8">
        <f t="shared" si="90"/>
        <v>414.92730583449588</v>
      </c>
      <c r="BI107" s="8"/>
      <c r="BJ107" s="37">
        <f t="shared" si="101"/>
        <v>70</v>
      </c>
      <c r="BK107" s="8">
        <f t="shared" si="91"/>
        <v>0</v>
      </c>
      <c r="BL107" s="8"/>
      <c r="BM107" s="4">
        <v>69</v>
      </c>
      <c r="BN107" s="14">
        <f t="shared" si="92"/>
        <v>0</v>
      </c>
      <c r="BO107" s="14">
        <f t="shared" si="93"/>
        <v>0</v>
      </c>
      <c r="BP107" s="14">
        <f t="shared" si="94"/>
        <v>0</v>
      </c>
      <c r="BQ107" s="14">
        <f t="shared" si="95"/>
        <v>0</v>
      </c>
      <c r="BR107" s="38">
        <f t="shared" si="96"/>
        <v>0</v>
      </c>
      <c r="BT107" s="4">
        <v>69</v>
      </c>
      <c r="BU107" s="14">
        <f>SUM(BN$39:BN107)</f>
        <v>1893068.4417105876</v>
      </c>
      <c r="BV107" s="14">
        <f>SUM(BO$39:BO107)</f>
        <v>477053.24731106876</v>
      </c>
      <c r="BW107" s="14">
        <f>SUM(BP$39:BP107)</f>
        <v>76328.519569770986</v>
      </c>
      <c r="BX107" s="14">
        <f>SUM(BQ$39:BQ107)</f>
        <v>170376.15975395293</v>
      </c>
      <c r="BY107" s="21">
        <f>SUM(BR$39:BR107)</f>
        <v>2616826.3683453798</v>
      </c>
    </row>
    <row r="108" spans="1:77" ht="13.8" x14ac:dyDescent="0.25">
      <c r="B108" s="131"/>
      <c r="C108" s="131"/>
      <c r="D108" s="135"/>
      <c r="E108" s="135"/>
      <c r="F108" s="130"/>
      <c r="G108" s="130"/>
      <c r="H108" s="135"/>
      <c r="I108" s="131"/>
      <c r="J108" s="142"/>
      <c r="K108" s="142"/>
      <c r="L108" s="344"/>
      <c r="M108" s="142"/>
      <c r="N108" s="142"/>
      <c r="O108" s="142"/>
      <c r="P108" s="142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32"/>
      <c r="AD108" s="132"/>
      <c r="AE108" s="132"/>
      <c r="AF108" s="132"/>
      <c r="AG108" s="13"/>
      <c r="AH108" s="14"/>
      <c r="AI108" s="44">
        <f t="shared" si="99"/>
        <v>71</v>
      </c>
      <c r="AJ108" s="55">
        <f t="shared" si="98"/>
        <v>5109942.1900799992</v>
      </c>
      <c r="AK108" s="59">
        <v>10</v>
      </c>
      <c r="AN108"/>
      <c r="AO108" s="42"/>
      <c r="AP108"/>
      <c r="AQ108"/>
      <c r="AR108"/>
      <c r="AS108"/>
      <c r="AT108"/>
      <c r="AU108"/>
      <c r="AV108"/>
      <c r="AW108"/>
      <c r="AX108"/>
      <c r="AY108" s="11"/>
      <c r="AZ108" s="11"/>
      <c r="BA108" s="36">
        <f t="shared" si="68"/>
        <v>71</v>
      </c>
      <c r="BB108" s="35">
        <f t="shared" si="74"/>
        <v>52005.301096830284</v>
      </c>
      <c r="BC108" s="120"/>
      <c r="BD108" s="307">
        <f t="shared" si="69"/>
        <v>71</v>
      </c>
      <c r="BE108" s="303">
        <f t="shared" si="70"/>
        <v>36687.113839356578</v>
      </c>
      <c r="BF108" s="208"/>
      <c r="BG108" s="37">
        <f t="shared" si="100"/>
        <v>71</v>
      </c>
      <c r="BH108" s="8">
        <f t="shared" si="90"/>
        <v>414.92730583449588</v>
      </c>
      <c r="BI108" s="8"/>
      <c r="BJ108" s="37">
        <f t="shared" si="101"/>
        <v>71</v>
      </c>
      <c r="BK108" s="8">
        <f t="shared" si="91"/>
        <v>0</v>
      </c>
      <c r="BL108" s="8"/>
      <c r="BM108" s="4">
        <v>70</v>
      </c>
      <c r="BN108" s="14">
        <f t="shared" si="92"/>
        <v>0</v>
      </c>
      <c r="BO108" s="14">
        <f t="shared" si="93"/>
        <v>0</v>
      </c>
      <c r="BP108" s="14">
        <f t="shared" si="94"/>
        <v>0</v>
      </c>
      <c r="BQ108" s="14">
        <f t="shared" si="95"/>
        <v>0</v>
      </c>
      <c r="BR108" s="38">
        <f t="shared" si="96"/>
        <v>0</v>
      </c>
      <c r="BT108" s="4">
        <v>70</v>
      </c>
      <c r="BU108" s="14">
        <f>SUM(BN$39:BN108)</f>
        <v>1893068.4417105876</v>
      </c>
      <c r="BV108" s="14">
        <f>SUM(BO$39:BO108)</f>
        <v>477053.24731106876</v>
      </c>
      <c r="BW108" s="14">
        <f>SUM(BP$39:BP108)</f>
        <v>76328.519569770986</v>
      </c>
      <c r="BX108" s="14">
        <f>SUM(BQ$39:BQ108)</f>
        <v>170376.15975395293</v>
      </c>
      <c r="BY108" s="21">
        <f>SUM(BR$39:BR108)</f>
        <v>2616826.3683453798</v>
      </c>
    </row>
    <row r="109" spans="1:77" ht="13.8" x14ac:dyDescent="0.25">
      <c r="B109" s="144"/>
      <c r="C109" s="144"/>
      <c r="D109" s="131"/>
      <c r="E109" s="131"/>
      <c r="F109" s="131"/>
      <c r="G109" s="131"/>
      <c r="H109" s="131"/>
      <c r="I109" s="145"/>
      <c r="J109" s="146"/>
      <c r="K109" s="146"/>
      <c r="L109" s="146"/>
      <c r="M109" s="146"/>
      <c r="N109" s="146"/>
      <c r="O109" s="146"/>
      <c r="P109" s="147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32"/>
      <c r="AD109" s="132"/>
      <c r="AE109" s="132"/>
      <c r="AF109" s="132"/>
      <c r="AG109" s="13"/>
      <c r="AH109" s="14"/>
      <c r="AI109" s="44">
        <f t="shared" si="99"/>
        <v>72</v>
      </c>
      <c r="AJ109" s="55">
        <f t="shared" si="98"/>
        <v>5109942.1900799992</v>
      </c>
      <c r="AK109" s="59">
        <v>11</v>
      </c>
      <c r="AN109"/>
      <c r="AO109" s="42"/>
      <c r="AP109"/>
      <c r="AQ109"/>
      <c r="AR109"/>
      <c r="AS109"/>
      <c r="AT109"/>
      <c r="AU109"/>
      <c r="AV109"/>
      <c r="AW109"/>
      <c r="AX109"/>
      <c r="AY109" s="11"/>
      <c r="AZ109" s="11"/>
      <c r="BA109" s="36">
        <f t="shared" si="68"/>
        <v>72</v>
      </c>
      <c r="BB109" s="35">
        <f t="shared" si="74"/>
        <v>52005.301096830284</v>
      </c>
      <c r="BC109" s="120"/>
      <c r="BD109" s="307">
        <f t="shared" si="69"/>
        <v>72</v>
      </c>
      <c r="BE109" s="303">
        <f t="shared" si="70"/>
        <v>36687.113839356578</v>
      </c>
      <c r="BF109" s="208"/>
      <c r="BG109" s="37">
        <f t="shared" si="100"/>
        <v>72</v>
      </c>
      <c r="BH109" s="8">
        <f t="shared" si="90"/>
        <v>414.92730583449588</v>
      </c>
      <c r="BI109" s="8"/>
      <c r="BJ109" s="37">
        <f t="shared" si="101"/>
        <v>72</v>
      </c>
      <c r="BK109" s="8">
        <f t="shared" si="91"/>
        <v>0</v>
      </c>
      <c r="BL109" s="8"/>
      <c r="BM109" s="4">
        <v>71</v>
      </c>
      <c r="BN109" s="14">
        <f t="shared" si="92"/>
        <v>0</v>
      </c>
      <c r="BO109" s="14">
        <f t="shared" si="93"/>
        <v>0</v>
      </c>
      <c r="BP109" s="14">
        <f t="shared" si="94"/>
        <v>0</v>
      </c>
      <c r="BQ109" s="14">
        <f t="shared" si="95"/>
        <v>0</v>
      </c>
      <c r="BR109" s="38">
        <f t="shared" si="96"/>
        <v>0</v>
      </c>
      <c r="BT109" s="4">
        <v>71</v>
      </c>
      <c r="BU109" s="14">
        <f>SUM(BN$39:BN109)</f>
        <v>1893068.4417105876</v>
      </c>
      <c r="BV109" s="14">
        <f>SUM(BO$39:BO109)</f>
        <v>477053.24731106876</v>
      </c>
      <c r="BW109" s="14">
        <f>SUM(BP$39:BP109)</f>
        <v>76328.519569770986</v>
      </c>
      <c r="BX109" s="14">
        <f>SUM(BQ$39:BQ109)</f>
        <v>170376.15975395293</v>
      </c>
      <c r="BY109" s="21">
        <f>SUM(BR$39:BR109)</f>
        <v>2616826.3683453798</v>
      </c>
    </row>
    <row r="110" spans="1:77" ht="13.8" x14ac:dyDescent="0.25">
      <c r="B110" s="149"/>
      <c r="C110" s="149"/>
      <c r="D110" s="149"/>
      <c r="E110" s="142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42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32"/>
      <c r="AD110" s="132"/>
      <c r="AE110" s="132"/>
      <c r="AF110" s="132"/>
      <c r="AG110" s="13"/>
      <c r="AH110" s="14"/>
      <c r="AI110" s="44">
        <f t="shared" si="99"/>
        <v>73</v>
      </c>
      <c r="AJ110" s="55">
        <f t="shared" si="98"/>
        <v>5109942.1900799992</v>
      </c>
      <c r="AK110" s="59">
        <v>12</v>
      </c>
      <c r="AN110"/>
      <c r="AO110" s="42"/>
      <c r="AP110"/>
      <c r="AQ110"/>
      <c r="AR110"/>
      <c r="AS110"/>
      <c r="AT110"/>
      <c r="AU110"/>
      <c r="AV110"/>
      <c r="AW110"/>
      <c r="AX110"/>
      <c r="AY110" s="11"/>
      <c r="AZ110" s="11"/>
      <c r="BA110" s="36">
        <f t="shared" si="68"/>
        <v>73</v>
      </c>
      <c r="BB110" s="35">
        <f t="shared" si="74"/>
        <v>52005.301096830284</v>
      </c>
      <c r="BC110" s="120"/>
      <c r="BD110" s="307">
        <f t="shared" si="69"/>
        <v>73</v>
      </c>
      <c r="BE110" s="303">
        <f t="shared" si="70"/>
        <v>36687.113839356578</v>
      </c>
      <c r="BF110" s="208"/>
      <c r="BG110" s="37">
        <f t="shared" si="100"/>
        <v>73</v>
      </c>
      <c r="BH110" s="8">
        <f t="shared" si="90"/>
        <v>414.92730583449588</v>
      </c>
      <c r="BI110" s="8"/>
      <c r="BJ110" s="37">
        <f t="shared" si="101"/>
        <v>73</v>
      </c>
      <c r="BK110" s="8">
        <f t="shared" si="91"/>
        <v>0</v>
      </c>
      <c r="BL110" s="8"/>
      <c r="BM110" s="5">
        <v>72</v>
      </c>
      <c r="BN110" s="22">
        <f t="shared" ref="BN110" si="102">AH110/$B$10</f>
        <v>0</v>
      </c>
      <c r="BO110" s="22">
        <f t="shared" ref="BO110" si="103">AH110*$G$15*(100%-$BB$26-$BB$28)</f>
        <v>0</v>
      </c>
      <c r="BP110" s="22">
        <f t="shared" ref="BP110" si="104">BO110*0.16</f>
        <v>0</v>
      </c>
      <c r="BQ110" s="22">
        <f t="shared" ref="BQ110" si="105">AH110*$I$15</f>
        <v>0</v>
      </c>
      <c r="BR110" s="39">
        <f t="shared" ref="BR110" si="106">SUM(BN110:BQ110)</f>
        <v>0</v>
      </c>
      <c r="BT110" s="5">
        <v>72</v>
      </c>
      <c r="BU110" s="22">
        <f>SUM(BN$39:BN110)</f>
        <v>1893068.4417105876</v>
      </c>
      <c r="BV110" s="22">
        <f>SUM(BO$39:BO110)</f>
        <v>477053.24731106876</v>
      </c>
      <c r="BW110" s="22">
        <f>SUM(BP$39:BP110)</f>
        <v>76328.519569770986</v>
      </c>
      <c r="BX110" s="22">
        <f>SUM(BQ$39:BQ110)</f>
        <v>170376.15975395293</v>
      </c>
      <c r="BY110" s="23">
        <f>SUM(BR$39:BR110)</f>
        <v>2616826.3683453798</v>
      </c>
    </row>
    <row r="111" spans="1:77" ht="13.8" x14ac:dyDescent="0.25">
      <c r="B111" s="149"/>
      <c r="C111" s="150"/>
      <c r="D111" s="156"/>
      <c r="E111" s="157"/>
      <c r="F111" s="131"/>
      <c r="G111" s="131"/>
      <c r="H111" s="131"/>
      <c r="I111" s="145"/>
      <c r="J111" s="151"/>
      <c r="K111" s="152"/>
      <c r="L111" s="152"/>
      <c r="M111" s="152"/>
      <c r="N111" s="152"/>
      <c r="O111" s="152"/>
      <c r="P111" s="152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36"/>
      <c r="AD111" s="136"/>
      <c r="AE111" s="136"/>
      <c r="AF111" s="136"/>
      <c r="AG111" s="13"/>
      <c r="AH111" s="14"/>
      <c r="AI111" s="44">
        <f t="shared" si="99"/>
        <v>74</v>
      </c>
      <c r="AJ111" s="55">
        <f>((AJ110)+(AJ110*$E$29))</f>
        <v>5314339.877683199</v>
      </c>
      <c r="AK111" s="59">
        <v>1</v>
      </c>
      <c r="AN111"/>
      <c r="AO111"/>
      <c r="AP111"/>
      <c r="AQ111"/>
      <c r="AR111"/>
      <c r="AS111"/>
      <c r="AT111"/>
      <c r="AU111"/>
      <c r="AV111"/>
      <c r="AW111"/>
      <c r="AX111"/>
      <c r="AY111" s="11"/>
      <c r="AZ111" s="11"/>
      <c r="BA111" s="36">
        <f t="shared" si="68"/>
        <v>74</v>
      </c>
      <c r="BB111" s="35">
        <f t="shared" si="74"/>
        <v>54085.513140703493</v>
      </c>
      <c r="BC111" s="120"/>
      <c r="BD111" s="307">
        <f t="shared" si="69"/>
        <v>74</v>
      </c>
      <c r="BE111" s="303">
        <f t="shared" si="70"/>
        <v>38154.598392930842</v>
      </c>
      <c r="BF111" s="208"/>
      <c r="BG111" s="37">
        <f t="shared" si="100"/>
        <v>74</v>
      </c>
      <c r="BH111" s="8">
        <f t="shared" si="90"/>
        <v>431.52439806787572</v>
      </c>
      <c r="BI111" s="8"/>
      <c r="BJ111" s="37">
        <f t="shared" si="101"/>
        <v>74</v>
      </c>
      <c r="BK111" s="8">
        <f t="shared" si="91"/>
        <v>0</v>
      </c>
      <c r="BL111" s="8"/>
      <c r="BM111" s="13"/>
      <c r="BN111" s="14"/>
      <c r="BO111" s="14"/>
      <c r="BP111" s="14"/>
      <c r="BQ111" s="14"/>
      <c r="BR111" s="12"/>
    </row>
    <row r="112" spans="1:77" ht="13.8" x14ac:dyDescent="0.25">
      <c r="B112" s="131"/>
      <c r="C112" s="131"/>
      <c r="D112" s="131"/>
      <c r="E112" s="132"/>
      <c r="F112" s="131"/>
      <c r="G112" s="131"/>
      <c r="H112" s="131"/>
      <c r="I112" s="153"/>
      <c r="J112" s="154"/>
      <c r="K112" s="131"/>
      <c r="L112" s="131"/>
      <c r="M112" s="131"/>
      <c r="N112" s="131"/>
      <c r="O112" s="131"/>
      <c r="P112" s="142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36"/>
      <c r="AD112" s="136"/>
      <c r="AE112" s="136"/>
      <c r="AF112" s="136"/>
      <c r="AG112" s="13"/>
      <c r="AH112" s="14"/>
      <c r="AI112" s="44">
        <f t="shared" si="99"/>
        <v>75</v>
      </c>
      <c r="AJ112" s="55">
        <f>AJ111</f>
        <v>5314339.877683199</v>
      </c>
      <c r="AK112" s="59">
        <v>2</v>
      </c>
      <c r="AN112"/>
      <c r="AO112"/>
      <c r="AP112"/>
      <c r="AQ112"/>
      <c r="AR112"/>
      <c r="AS112"/>
      <c r="AT112"/>
      <c r="AU112"/>
      <c r="AV112"/>
      <c r="AW112"/>
      <c r="AX112"/>
      <c r="AY112" s="11"/>
      <c r="AZ112" s="11"/>
      <c r="BA112" s="36">
        <f t="shared" si="68"/>
        <v>75</v>
      </c>
      <c r="BB112" s="35">
        <f t="shared" si="74"/>
        <v>54085.513140703493</v>
      </c>
      <c r="BC112" s="120"/>
      <c r="BD112" s="307">
        <f t="shared" si="69"/>
        <v>75</v>
      </c>
      <c r="BE112" s="303">
        <f t="shared" si="70"/>
        <v>38154.598392930842</v>
      </c>
      <c r="BF112" s="208"/>
      <c r="BG112" s="37">
        <f t="shared" si="100"/>
        <v>75</v>
      </c>
      <c r="BH112" s="8">
        <f t="shared" si="90"/>
        <v>431.52439806787572</v>
      </c>
      <c r="BI112" s="8"/>
      <c r="BJ112" s="37">
        <f t="shared" si="101"/>
        <v>75</v>
      </c>
      <c r="BK112" s="8">
        <f t="shared" si="91"/>
        <v>0</v>
      </c>
      <c r="BL112" s="8"/>
      <c r="BM112" s="13"/>
      <c r="BN112" s="14"/>
      <c r="BO112" s="14"/>
      <c r="BP112" s="14"/>
      <c r="BQ112" s="14"/>
      <c r="BR112" s="12"/>
    </row>
    <row r="113" spans="2:70" ht="13.8" x14ac:dyDescent="0.25"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6"/>
      <c r="AD113" s="136"/>
      <c r="AE113" s="136"/>
      <c r="AF113" s="136"/>
      <c r="AG113" s="13"/>
      <c r="AH113" s="14"/>
      <c r="AI113" s="44">
        <f t="shared" si="99"/>
        <v>76</v>
      </c>
      <c r="AJ113" s="55">
        <f>AJ112</f>
        <v>5314339.877683199</v>
      </c>
      <c r="AK113" s="59">
        <v>3</v>
      </c>
      <c r="AN113"/>
      <c r="AO113"/>
      <c r="AP113"/>
      <c r="AQ113"/>
      <c r="AR113"/>
      <c r="AS113"/>
      <c r="AT113"/>
      <c r="AU113"/>
      <c r="AV113"/>
      <c r="AW113"/>
      <c r="AX113"/>
      <c r="AY113" s="11"/>
      <c r="AZ113" s="11"/>
      <c r="BA113" s="36">
        <f t="shared" si="68"/>
        <v>76</v>
      </c>
      <c r="BB113" s="35">
        <f t="shared" si="74"/>
        <v>54085.513140703493</v>
      </c>
      <c r="BC113" s="120"/>
      <c r="BD113" s="307">
        <f t="shared" si="69"/>
        <v>76</v>
      </c>
      <c r="BE113" s="303">
        <f t="shared" si="70"/>
        <v>38154.598392930842</v>
      </c>
      <c r="BF113" s="208"/>
      <c r="BG113" s="37">
        <f t="shared" si="100"/>
        <v>76</v>
      </c>
      <c r="BH113" s="8">
        <f t="shared" si="90"/>
        <v>431.52439806787572</v>
      </c>
      <c r="BI113" s="8"/>
      <c r="BJ113" s="37">
        <f t="shared" si="101"/>
        <v>76</v>
      </c>
      <c r="BK113" s="8">
        <f t="shared" si="91"/>
        <v>0</v>
      </c>
      <c r="BL113" s="8"/>
      <c r="BM113" s="13"/>
      <c r="BN113" s="14"/>
      <c r="BO113" s="14"/>
      <c r="BP113" s="14"/>
      <c r="BQ113" s="14"/>
      <c r="BR113" s="12"/>
    </row>
    <row r="114" spans="2:70" ht="13.8" x14ac:dyDescent="0.25">
      <c r="B114" s="134"/>
      <c r="C114" s="134"/>
      <c r="D114" s="132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6"/>
      <c r="AD114" s="136"/>
      <c r="AE114" s="136"/>
      <c r="AF114" s="136"/>
      <c r="AG114" s="13"/>
      <c r="AH114" s="14"/>
      <c r="AI114" s="44">
        <f t="shared" si="99"/>
        <v>77</v>
      </c>
      <c r="AJ114" s="55">
        <f>AJ113</f>
        <v>5314339.877683199</v>
      </c>
      <c r="AK114" s="59">
        <v>4</v>
      </c>
      <c r="AN114"/>
      <c r="AO114"/>
      <c r="AP114"/>
      <c r="AQ114"/>
      <c r="AR114"/>
      <c r="AS114"/>
      <c r="AT114"/>
      <c r="AU114"/>
      <c r="AV114"/>
      <c r="AW114"/>
      <c r="AX114"/>
      <c r="AY114" s="11"/>
      <c r="AZ114" s="11"/>
      <c r="BA114" s="36">
        <f t="shared" si="68"/>
        <v>77</v>
      </c>
      <c r="BB114" s="35">
        <f t="shared" si="74"/>
        <v>54085.513140703493</v>
      </c>
      <c r="BC114" s="120"/>
      <c r="BD114" s="307">
        <f t="shared" si="69"/>
        <v>77</v>
      </c>
      <c r="BE114" s="303">
        <f t="shared" si="70"/>
        <v>38154.598392930842</v>
      </c>
      <c r="BF114" s="208"/>
      <c r="BG114" s="37">
        <f t="shared" si="100"/>
        <v>77</v>
      </c>
      <c r="BH114" s="8">
        <f t="shared" si="90"/>
        <v>431.52439806787572</v>
      </c>
      <c r="BI114" s="8"/>
      <c r="BJ114" s="37">
        <f t="shared" si="101"/>
        <v>77</v>
      </c>
      <c r="BK114" s="8">
        <f t="shared" si="91"/>
        <v>0</v>
      </c>
      <c r="BL114" s="8"/>
      <c r="BM114" s="13"/>
      <c r="BN114" s="14"/>
      <c r="BO114" s="14"/>
      <c r="BP114" s="14"/>
      <c r="BQ114" s="14"/>
      <c r="BR114" s="12"/>
    </row>
    <row r="115" spans="2:70" ht="13.8" x14ac:dyDescent="0.25"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6"/>
      <c r="AD115" s="136"/>
      <c r="AE115" s="136"/>
      <c r="AF115" s="136"/>
      <c r="AG115" s="13"/>
      <c r="AH115" s="14"/>
      <c r="AI115" s="44">
        <f t="shared" si="99"/>
        <v>78</v>
      </c>
      <c r="AJ115" s="55">
        <f t="shared" si="98"/>
        <v>5314339.877683199</v>
      </c>
      <c r="AK115" s="59">
        <v>5</v>
      </c>
      <c r="AN115"/>
      <c r="AO115"/>
      <c r="AP115"/>
      <c r="AQ115"/>
      <c r="AR115"/>
      <c r="AS115"/>
      <c r="AT115"/>
      <c r="AU115"/>
      <c r="AV115"/>
      <c r="AW115"/>
      <c r="AX115"/>
      <c r="AY115" s="11"/>
      <c r="AZ115" s="11"/>
      <c r="BA115" s="36">
        <f t="shared" si="68"/>
        <v>78</v>
      </c>
      <c r="BB115" s="35">
        <f t="shared" ref="BB115:BB146" si="107">SUM(VLOOKUP(BA115,$AI$39:$AJ$158,2,0)/$B$10*$K$30,VLOOKUP(BA115,$AI$39:$AJ$158,2,0)*($G$15*(100%-$BB$31+$BB$29))*1.16,VLOOKUP(BA115,$AI$39:$AJ$158,2,0)*$I$15,VLOOKUP(BA115,$AI$39:$AJ$158,2,0)*$J$15)</f>
        <v>54085.513140703493</v>
      </c>
      <c r="BC115" s="120"/>
      <c r="BD115" s="307">
        <f t="shared" si="69"/>
        <v>78</v>
      </c>
      <c r="BE115" s="303">
        <f t="shared" si="70"/>
        <v>38154.598392930842</v>
      </c>
      <c r="BF115" s="208"/>
      <c r="BG115" s="37">
        <f t="shared" si="100"/>
        <v>78</v>
      </c>
      <c r="BH115" s="8">
        <f t="shared" si="90"/>
        <v>431.52439806787572</v>
      </c>
      <c r="BI115" s="8"/>
      <c r="BJ115" s="37">
        <f t="shared" si="101"/>
        <v>78</v>
      </c>
      <c r="BK115" s="8">
        <f t="shared" si="91"/>
        <v>0</v>
      </c>
      <c r="BL115" s="8"/>
      <c r="BM115" s="13"/>
      <c r="BN115" s="14"/>
      <c r="BO115" s="14"/>
      <c r="BP115" s="14"/>
      <c r="BQ115" s="14"/>
      <c r="BR115" s="12"/>
    </row>
    <row r="116" spans="2:70" ht="13.8" x14ac:dyDescent="0.25"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6"/>
      <c r="AD116" s="136"/>
      <c r="AE116" s="136"/>
      <c r="AF116" s="136"/>
      <c r="AG116" s="13"/>
      <c r="AH116" s="14"/>
      <c r="AI116" s="44">
        <f t="shared" si="99"/>
        <v>79</v>
      </c>
      <c r="AJ116" s="55">
        <f t="shared" si="98"/>
        <v>5314339.877683199</v>
      </c>
      <c r="AK116" s="59">
        <v>6</v>
      </c>
      <c r="AN116"/>
      <c r="AO116"/>
      <c r="AP116"/>
      <c r="AQ116"/>
      <c r="AR116"/>
      <c r="AS116"/>
      <c r="AT116"/>
      <c r="AU116"/>
      <c r="AV116"/>
      <c r="AW116"/>
      <c r="AX116"/>
      <c r="AY116" s="11"/>
      <c r="AZ116" s="11"/>
      <c r="BA116" s="36">
        <f t="shared" si="68"/>
        <v>79</v>
      </c>
      <c r="BB116" s="35">
        <f t="shared" si="107"/>
        <v>54085.513140703493</v>
      </c>
      <c r="BC116" s="120"/>
      <c r="BD116" s="307">
        <f t="shared" si="69"/>
        <v>79</v>
      </c>
      <c r="BE116" s="303">
        <f t="shared" si="70"/>
        <v>38154.598392930842</v>
      </c>
      <c r="BF116" s="208"/>
      <c r="BG116" s="37">
        <f t="shared" si="100"/>
        <v>79</v>
      </c>
      <c r="BH116" s="8">
        <f t="shared" si="90"/>
        <v>431.52439806787572</v>
      </c>
      <c r="BI116" s="8"/>
      <c r="BJ116" s="37">
        <f t="shared" si="101"/>
        <v>79</v>
      </c>
      <c r="BK116" s="8">
        <f t="shared" si="91"/>
        <v>0</v>
      </c>
      <c r="BL116" s="8"/>
      <c r="BM116" s="13"/>
      <c r="BN116" s="14"/>
      <c r="BO116" s="14"/>
      <c r="BP116" s="14"/>
      <c r="BQ116" s="14"/>
      <c r="BR116" s="12"/>
    </row>
    <row r="117" spans="2:70" ht="13.8" x14ac:dyDescent="0.25"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6"/>
      <c r="AD117" s="136"/>
      <c r="AE117" s="136"/>
      <c r="AF117" s="136"/>
      <c r="AG117" s="13"/>
      <c r="AH117" s="14"/>
      <c r="AI117" s="44">
        <f t="shared" si="99"/>
        <v>80</v>
      </c>
      <c r="AJ117" s="55">
        <f t="shared" si="98"/>
        <v>5314339.877683199</v>
      </c>
      <c r="AK117" s="59">
        <v>7</v>
      </c>
      <c r="AN117"/>
      <c r="AO117"/>
      <c r="AP117"/>
      <c r="AQ117"/>
      <c r="AR117"/>
      <c r="AS117"/>
      <c r="AT117"/>
      <c r="AU117"/>
      <c r="AV117"/>
      <c r="AW117"/>
      <c r="AX117"/>
      <c r="AY117" s="11"/>
      <c r="AZ117" s="11"/>
      <c r="BA117" s="36">
        <f t="shared" si="68"/>
        <v>80</v>
      </c>
      <c r="BB117" s="35">
        <f t="shared" si="107"/>
        <v>54085.513140703493</v>
      </c>
      <c r="BC117" s="120"/>
      <c r="BD117" s="307">
        <f t="shared" si="69"/>
        <v>80</v>
      </c>
      <c r="BE117" s="303">
        <f t="shared" si="70"/>
        <v>38154.598392930842</v>
      </c>
      <c r="BF117" s="208"/>
      <c r="BG117" s="37">
        <f t="shared" si="100"/>
        <v>80</v>
      </c>
      <c r="BH117" s="8">
        <f t="shared" si="90"/>
        <v>431.52439806787572</v>
      </c>
      <c r="BI117" s="8"/>
      <c r="BJ117" s="37">
        <f t="shared" si="101"/>
        <v>80</v>
      </c>
      <c r="BK117" s="8">
        <f t="shared" si="91"/>
        <v>0</v>
      </c>
      <c r="BL117" s="8"/>
      <c r="BM117" s="13"/>
      <c r="BN117" s="14"/>
      <c r="BO117" s="14"/>
      <c r="BP117" s="14"/>
      <c r="BQ117" s="14"/>
      <c r="BR117" s="12"/>
    </row>
    <row r="118" spans="2:70" ht="13.8" x14ac:dyDescent="0.25"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6"/>
      <c r="AD118" s="136"/>
      <c r="AE118" s="136"/>
      <c r="AF118" s="136"/>
      <c r="AG118" s="13"/>
      <c r="AH118" s="14"/>
      <c r="AI118" s="44">
        <f t="shared" si="99"/>
        <v>81</v>
      </c>
      <c r="AJ118" s="55">
        <f t="shared" si="98"/>
        <v>5314339.877683199</v>
      </c>
      <c r="AK118" s="59">
        <v>8</v>
      </c>
      <c r="AN118"/>
      <c r="AO118"/>
      <c r="AP118"/>
      <c r="AQ118"/>
      <c r="AR118"/>
      <c r="AS118"/>
      <c r="AT118"/>
      <c r="AU118"/>
      <c r="AV118"/>
      <c r="AW118"/>
      <c r="AX118"/>
      <c r="AY118" s="11"/>
      <c r="AZ118" s="11"/>
      <c r="BA118" s="36">
        <f t="shared" si="68"/>
        <v>81</v>
      </c>
      <c r="BB118" s="35">
        <f t="shared" si="107"/>
        <v>54085.513140703493</v>
      </c>
      <c r="BC118" s="120"/>
      <c r="BD118" s="307">
        <f t="shared" si="69"/>
        <v>81</v>
      </c>
      <c r="BE118" s="303">
        <f t="shared" si="70"/>
        <v>38154.598392930842</v>
      </c>
      <c r="BF118" s="208"/>
      <c r="BG118" s="37">
        <f t="shared" si="100"/>
        <v>81</v>
      </c>
      <c r="BH118" s="8">
        <f t="shared" si="90"/>
        <v>431.52439806787572</v>
      </c>
      <c r="BI118" s="8"/>
      <c r="BJ118" s="37">
        <f t="shared" si="101"/>
        <v>81</v>
      </c>
      <c r="BK118" s="8">
        <f t="shared" si="91"/>
        <v>0</v>
      </c>
      <c r="BL118" s="8"/>
      <c r="BM118" s="13"/>
      <c r="BN118" s="14"/>
      <c r="BO118" s="14"/>
      <c r="BP118" s="14"/>
      <c r="BQ118" s="14"/>
      <c r="BR118" s="12"/>
    </row>
    <row r="119" spans="2:70" ht="13.8" x14ac:dyDescent="0.25"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6"/>
      <c r="AD119" s="136"/>
      <c r="AE119" s="136"/>
      <c r="AF119" s="136"/>
      <c r="AG119" s="13"/>
      <c r="AH119" s="14"/>
      <c r="AI119" s="44">
        <f t="shared" si="99"/>
        <v>82</v>
      </c>
      <c r="AJ119" s="55">
        <f t="shared" si="98"/>
        <v>5314339.877683199</v>
      </c>
      <c r="AK119" s="59">
        <v>9</v>
      </c>
      <c r="AN119"/>
      <c r="AO119"/>
      <c r="AP119"/>
      <c r="AQ119"/>
      <c r="AR119"/>
      <c r="AS119"/>
      <c r="AT119"/>
      <c r="AU119"/>
      <c r="AV119"/>
      <c r="AW119"/>
      <c r="AX119"/>
      <c r="AY119" s="11"/>
      <c r="AZ119" s="11"/>
      <c r="BA119" s="36">
        <f t="shared" si="68"/>
        <v>82</v>
      </c>
      <c r="BB119" s="35">
        <f t="shared" si="107"/>
        <v>54085.513140703493</v>
      </c>
      <c r="BC119" s="120"/>
      <c r="BD119" s="307">
        <f t="shared" si="69"/>
        <v>82</v>
      </c>
      <c r="BE119" s="303">
        <f t="shared" si="70"/>
        <v>38154.598392930842</v>
      </c>
      <c r="BF119" s="208"/>
      <c r="BG119" s="37">
        <f t="shared" si="100"/>
        <v>82</v>
      </c>
      <c r="BH119" s="8">
        <f t="shared" si="90"/>
        <v>431.52439806787572</v>
      </c>
      <c r="BI119" s="8"/>
      <c r="BJ119" s="37">
        <f t="shared" si="101"/>
        <v>82</v>
      </c>
      <c r="BK119" s="8">
        <f t="shared" si="91"/>
        <v>0</v>
      </c>
      <c r="BL119" s="8"/>
      <c r="BM119" s="13"/>
      <c r="BN119" s="14"/>
      <c r="BO119" s="14"/>
      <c r="BP119" s="14"/>
      <c r="BQ119" s="14"/>
      <c r="BR119" s="12"/>
    </row>
    <row r="120" spans="2:70" ht="13.8" x14ac:dyDescent="0.25"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6"/>
      <c r="AD120" s="136"/>
      <c r="AE120" s="136"/>
      <c r="AF120" s="136"/>
      <c r="AG120" s="13"/>
      <c r="AH120" s="14"/>
      <c r="AI120" s="44">
        <f t="shared" si="99"/>
        <v>83</v>
      </c>
      <c r="AJ120" s="55">
        <f t="shared" si="98"/>
        <v>5314339.877683199</v>
      </c>
      <c r="AK120" s="59">
        <v>10</v>
      </c>
      <c r="AN120"/>
      <c r="AO120"/>
      <c r="AP120"/>
      <c r="AQ120"/>
      <c r="AR120"/>
      <c r="AS120"/>
      <c r="AT120"/>
      <c r="AU120"/>
      <c r="AV120"/>
      <c r="AW120"/>
      <c r="AX120"/>
      <c r="AY120" s="11"/>
      <c r="AZ120" s="11"/>
      <c r="BA120" s="36">
        <f t="shared" si="68"/>
        <v>83</v>
      </c>
      <c r="BB120" s="35">
        <f t="shared" si="107"/>
        <v>54085.513140703493</v>
      </c>
      <c r="BC120" s="120"/>
      <c r="BD120" s="307">
        <f t="shared" si="69"/>
        <v>83</v>
      </c>
      <c r="BE120" s="303">
        <f t="shared" si="70"/>
        <v>38154.598392930842</v>
      </c>
      <c r="BF120" s="208"/>
      <c r="BG120" s="37">
        <f t="shared" si="100"/>
        <v>83</v>
      </c>
      <c r="BH120" s="8">
        <f t="shared" si="90"/>
        <v>431.52439806787572</v>
      </c>
      <c r="BI120" s="8"/>
      <c r="BJ120" s="37">
        <f t="shared" si="101"/>
        <v>83</v>
      </c>
      <c r="BK120" s="8">
        <f t="shared" si="91"/>
        <v>0</v>
      </c>
      <c r="BL120" s="8"/>
      <c r="BM120" s="13"/>
      <c r="BN120" s="14"/>
      <c r="BO120" s="14"/>
      <c r="BP120" s="14"/>
      <c r="BQ120" s="14"/>
      <c r="BR120" s="12"/>
    </row>
    <row r="121" spans="2:70" ht="13.8" x14ac:dyDescent="0.25"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6"/>
      <c r="AD121" s="136"/>
      <c r="AE121" s="136"/>
      <c r="AF121" s="136"/>
      <c r="AG121" s="13"/>
      <c r="AH121" s="14"/>
      <c r="AI121" s="44">
        <f t="shared" si="99"/>
        <v>84</v>
      </c>
      <c r="AJ121" s="55">
        <f t="shared" si="98"/>
        <v>5314339.877683199</v>
      </c>
      <c r="AK121" s="59">
        <v>11</v>
      </c>
      <c r="AN121"/>
      <c r="AO121"/>
      <c r="AP121"/>
      <c r="AQ121"/>
      <c r="AR121"/>
      <c r="AS121"/>
      <c r="AT121"/>
      <c r="AU121"/>
      <c r="AV121"/>
      <c r="AW121"/>
      <c r="AX121"/>
      <c r="AY121" s="11"/>
      <c r="AZ121" s="11"/>
      <c r="BA121" s="36">
        <f t="shared" si="68"/>
        <v>84</v>
      </c>
      <c r="BB121" s="35">
        <f t="shared" si="107"/>
        <v>54085.513140703493</v>
      </c>
      <c r="BC121" s="120"/>
      <c r="BD121" s="307">
        <f t="shared" si="69"/>
        <v>84</v>
      </c>
      <c r="BE121" s="303">
        <f t="shared" si="70"/>
        <v>38154.598392930842</v>
      </c>
      <c r="BF121" s="208"/>
      <c r="BG121" s="37">
        <f t="shared" si="100"/>
        <v>84</v>
      </c>
      <c r="BH121" s="8">
        <f t="shared" si="90"/>
        <v>431.52439806787572</v>
      </c>
      <c r="BI121" s="8"/>
      <c r="BJ121" s="37">
        <f t="shared" si="101"/>
        <v>84</v>
      </c>
      <c r="BK121" s="8">
        <f t="shared" si="91"/>
        <v>0</v>
      </c>
      <c r="BL121" s="8"/>
      <c r="BM121" s="13"/>
      <c r="BN121" s="14"/>
      <c r="BO121" s="14"/>
      <c r="BP121" s="14"/>
      <c r="BQ121" s="14"/>
      <c r="BR121" s="12"/>
    </row>
    <row r="122" spans="2:70" ht="13.8" x14ac:dyDescent="0.25"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6"/>
      <c r="AD122" s="136"/>
      <c r="AE122" s="136"/>
      <c r="AF122" s="136"/>
      <c r="AG122" s="13"/>
      <c r="AH122" s="14"/>
      <c r="AI122" s="44">
        <f t="shared" si="99"/>
        <v>85</v>
      </c>
      <c r="AJ122" s="55">
        <f t="shared" si="98"/>
        <v>5314339.877683199</v>
      </c>
      <c r="AK122" s="59">
        <v>12</v>
      </c>
      <c r="AN122"/>
      <c r="AO122"/>
      <c r="AP122"/>
      <c r="AQ122"/>
      <c r="AR122"/>
      <c r="AS122"/>
      <c r="AT122"/>
      <c r="AU122"/>
      <c r="AV122"/>
      <c r="AW122"/>
      <c r="AX122"/>
      <c r="AY122" s="11"/>
      <c r="AZ122" s="11"/>
      <c r="BA122" s="36">
        <f t="shared" si="68"/>
        <v>85</v>
      </c>
      <c r="BB122" s="35">
        <f t="shared" si="107"/>
        <v>54085.513140703493</v>
      </c>
      <c r="BC122" s="120"/>
      <c r="BD122" s="307">
        <f t="shared" si="69"/>
        <v>85</v>
      </c>
      <c r="BE122" s="303">
        <f t="shared" si="70"/>
        <v>38154.598392930842</v>
      </c>
      <c r="BF122" s="208"/>
      <c r="BG122" s="37">
        <f t="shared" si="100"/>
        <v>85</v>
      </c>
      <c r="BH122" s="8">
        <f t="shared" si="90"/>
        <v>431.52439806787572</v>
      </c>
      <c r="BI122" s="8"/>
      <c r="BJ122" s="37">
        <f t="shared" si="101"/>
        <v>85</v>
      </c>
      <c r="BK122" s="8">
        <f t="shared" si="91"/>
        <v>0</v>
      </c>
      <c r="BL122" s="8"/>
      <c r="BM122" s="13"/>
      <c r="BN122" s="14"/>
      <c r="BO122" s="14"/>
      <c r="BP122" s="14"/>
      <c r="BQ122" s="14"/>
      <c r="BR122" s="12"/>
    </row>
    <row r="123" spans="2:70" ht="13.8" x14ac:dyDescent="0.25"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6"/>
      <c r="AD123" s="136"/>
      <c r="AE123" s="136"/>
      <c r="AF123" s="136"/>
      <c r="AG123" s="13"/>
      <c r="AH123" s="14"/>
      <c r="AI123" s="44">
        <f t="shared" si="99"/>
        <v>86</v>
      </c>
      <c r="AJ123" s="55">
        <f>((AJ122)+(AJ122*$E$29))</f>
        <v>5526913.4727905272</v>
      </c>
      <c r="AK123" s="59">
        <v>1</v>
      </c>
      <c r="AN123"/>
      <c r="AO123"/>
      <c r="AP123"/>
      <c r="AQ123"/>
      <c r="AR123"/>
      <c r="AS123"/>
      <c r="AT123"/>
      <c r="AU123"/>
      <c r="AV123"/>
      <c r="AW123"/>
      <c r="AX123"/>
      <c r="AY123" s="11"/>
      <c r="AZ123" s="11"/>
      <c r="BA123" s="36">
        <f t="shared" si="68"/>
        <v>86</v>
      </c>
      <c r="BB123" s="35">
        <f t="shared" si="107"/>
        <v>56248.933666331635</v>
      </c>
      <c r="BC123" s="120"/>
      <c r="BD123" s="307">
        <f t="shared" si="69"/>
        <v>86</v>
      </c>
      <c r="BE123" s="303">
        <f t="shared" si="70"/>
        <v>39680.782328648078</v>
      </c>
      <c r="BF123" s="208"/>
      <c r="BG123" s="37">
        <f t="shared" si="100"/>
        <v>86</v>
      </c>
      <c r="BH123" s="8">
        <f t="shared" si="90"/>
        <v>448.78537399059081</v>
      </c>
      <c r="BI123" s="8"/>
      <c r="BJ123" s="37">
        <f t="shared" si="101"/>
        <v>86</v>
      </c>
      <c r="BK123" s="8">
        <f t="shared" si="91"/>
        <v>0</v>
      </c>
      <c r="BL123" s="8"/>
      <c r="BM123" s="13"/>
      <c r="BN123" s="14"/>
      <c r="BO123" s="14"/>
      <c r="BP123" s="14"/>
      <c r="BQ123" s="14"/>
      <c r="BR123" s="12"/>
    </row>
    <row r="124" spans="2:70" ht="13.8" x14ac:dyDescent="0.25"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6"/>
      <c r="AD124" s="136"/>
      <c r="AE124" s="136"/>
      <c r="AF124" s="136"/>
      <c r="AG124" s="13"/>
      <c r="AH124" s="14"/>
      <c r="AI124" s="44">
        <f t="shared" si="99"/>
        <v>87</v>
      </c>
      <c r="AJ124" s="55">
        <f>AJ123</f>
        <v>5526913.4727905272</v>
      </c>
      <c r="AK124" s="59">
        <v>2</v>
      </c>
      <c r="AN124"/>
      <c r="AO124"/>
      <c r="AP124"/>
      <c r="AQ124"/>
      <c r="AR124"/>
      <c r="AS124"/>
      <c r="AT124"/>
      <c r="AU124"/>
      <c r="AV124"/>
      <c r="AW124"/>
      <c r="AX124"/>
      <c r="AY124" s="11"/>
      <c r="AZ124" s="11"/>
      <c r="BA124" s="36">
        <f t="shared" si="68"/>
        <v>87</v>
      </c>
      <c r="BB124" s="35">
        <f t="shared" si="107"/>
        <v>56248.933666331635</v>
      </c>
      <c r="BC124" s="120"/>
      <c r="BD124" s="307">
        <f t="shared" si="69"/>
        <v>87</v>
      </c>
      <c r="BE124" s="303">
        <f t="shared" si="70"/>
        <v>39680.782328648078</v>
      </c>
      <c r="BF124" s="208"/>
      <c r="BG124" s="37">
        <f t="shared" si="100"/>
        <v>87</v>
      </c>
      <c r="BH124" s="8">
        <f t="shared" si="90"/>
        <v>448.78537399059081</v>
      </c>
      <c r="BI124" s="8"/>
      <c r="BJ124" s="37">
        <f t="shared" si="101"/>
        <v>87</v>
      </c>
      <c r="BK124" s="8">
        <f t="shared" si="91"/>
        <v>0</v>
      </c>
      <c r="BL124" s="8"/>
      <c r="BM124" s="13"/>
      <c r="BN124" s="14"/>
      <c r="BO124" s="14"/>
      <c r="BP124" s="14"/>
      <c r="BQ124" s="14"/>
      <c r="BR124" s="12"/>
    </row>
    <row r="125" spans="2:70" ht="13.8" x14ac:dyDescent="0.25"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6"/>
      <c r="AD125" s="136"/>
      <c r="AE125" s="136"/>
      <c r="AF125" s="136"/>
      <c r="AG125" s="13"/>
      <c r="AH125" s="14"/>
      <c r="AI125" s="44">
        <f t="shared" si="99"/>
        <v>88</v>
      </c>
      <c r="AJ125" s="55">
        <f>AJ124</f>
        <v>5526913.4727905272</v>
      </c>
      <c r="AK125" s="59">
        <v>3</v>
      </c>
      <c r="AN125"/>
      <c r="AO125"/>
      <c r="AP125"/>
      <c r="AQ125"/>
      <c r="AR125"/>
      <c r="AS125"/>
      <c r="AT125"/>
      <c r="AU125"/>
      <c r="AV125"/>
      <c r="AW125"/>
      <c r="AX125"/>
      <c r="AY125" s="11"/>
      <c r="AZ125" s="11"/>
      <c r="BA125" s="36">
        <f t="shared" si="68"/>
        <v>88</v>
      </c>
      <c r="BB125" s="35">
        <f t="shared" si="107"/>
        <v>56248.933666331635</v>
      </c>
      <c r="BC125" s="120"/>
      <c r="BD125" s="307">
        <f t="shared" si="69"/>
        <v>88</v>
      </c>
      <c r="BE125" s="303">
        <f t="shared" si="70"/>
        <v>39680.782328648078</v>
      </c>
      <c r="BF125" s="208"/>
      <c r="BG125" s="37">
        <f t="shared" si="100"/>
        <v>88</v>
      </c>
      <c r="BH125" s="8">
        <f t="shared" si="90"/>
        <v>448.78537399059081</v>
      </c>
      <c r="BI125" s="8"/>
      <c r="BJ125" s="37">
        <f t="shared" si="101"/>
        <v>88</v>
      </c>
      <c r="BK125" s="8">
        <f t="shared" si="91"/>
        <v>0</v>
      </c>
      <c r="BL125" s="8"/>
      <c r="BM125" s="13"/>
      <c r="BN125" s="14"/>
      <c r="BO125" s="14"/>
      <c r="BP125" s="14"/>
      <c r="BQ125" s="14"/>
      <c r="BR125" s="12"/>
    </row>
    <row r="126" spans="2:70" ht="13.8" x14ac:dyDescent="0.25"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6"/>
      <c r="AD126" s="136"/>
      <c r="AE126" s="136"/>
      <c r="AF126" s="136"/>
      <c r="AG126" s="13"/>
      <c r="AH126" s="14"/>
      <c r="AI126" s="44">
        <f t="shared" si="99"/>
        <v>89</v>
      </c>
      <c r="AJ126" s="55">
        <f>AJ125</f>
        <v>5526913.4727905272</v>
      </c>
      <c r="AK126" s="59">
        <v>4</v>
      </c>
      <c r="AN126"/>
      <c r="AO126"/>
      <c r="AP126"/>
      <c r="AQ126"/>
      <c r="AR126"/>
      <c r="AS126"/>
      <c r="AT126"/>
      <c r="AU126"/>
      <c r="AV126"/>
      <c r="AW126"/>
      <c r="AX126"/>
      <c r="AY126" s="11"/>
      <c r="AZ126" s="11"/>
      <c r="BA126" s="36">
        <f t="shared" si="68"/>
        <v>89</v>
      </c>
      <c r="BB126" s="35">
        <f t="shared" si="107"/>
        <v>56248.933666331635</v>
      </c>
      <c r="BC126" s="120"/>
      <c r="BD126" s="307">
        <f t="shared" si="69"/>
        <v>89</v>
      </c>
      <c r="BE126" s="303">
        <f t="shared" si="70"/>
        <v>39680.782328648078</v>
      </c>
      <c r="BF126" s="208"/>
      <c r="BG126" s="37">
        <f t="shared" si="100"/>
        <v>89</v>
      </c>
      <c r="BH126" s="8">
        <f t="shared" si="90"/>
        <v>448.78537399059081</v>
      </c>
      <c r="BI126" s="8"/>
      <c r="BJ126" s="37">
        <f t="shared" si="101"/>
        <v>89</v>
      </c>
      <c r="BK126" s="8">
        <f t="shared" si="91"/>
        <v>0</v>
      </c>
      <c r="BL126" s="8"/>
      <c r="BM126" s="13"/>
      <c r="BN126" s="14"/>
      <c r="BO126" s="14"/>
      <c r="BP126" s="14"/>
      <c r="BQ126" s="14"/>
      <c r="BR126" s="12"/>
    </row>
    <row r="127" spans="2:70" ht="13.8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6"/>
      <c r="AD127" s="136"/>
      <c r="AE127" s="136"/>
      <c r="AF127" s="136"/>
      <c r="AG127" s="13"/>
      <c r="AH127" s="14"/>
      <c r="AI127" s="44">
        <f t="shared" si="99"/>
        <v>90</v>
      </c>
      <c r="AJ127" s="55">
        <f t="shared" si="98"/>
        <v>5526913.4727905272</v>
      </c>
      <c r="AK127" s="59">
        <v>5</v>
      </c>
      <c r="AN127"/>
      <c r="AO127"/>
      <c r="AP127"/>
      <c r="AQ127"/>
      <c r="AR127"/>
      <c r="AS127"/>
      <c r="AT127"/>
      <c r="AU127"/>
      <c r="AV127"/>
      <c r="AW127"/>
      <c r="AX127"/>
      <c r="AY127" s="11"/>
      <c r="AZ127" s="11"/>
      <c r="BA127" s="36">
        <f t="shared" si="68"/>
        <v>90</v>
      </c>
      <c r="BB127" s="35">
        <f t="shared" si="107"/>
        <v>56248.933666331635</v>
      </c>
      <c r="BC127" s="120"/>
      <c r="BD127" s="307">
        <f t="shared" si="69"/>
        <v>90</v>
      </c>
      <c r="BE127" s="303">
        <f t="shared" si="70"/>
        <v>39680.782328648078</v>
      </c>
      <c r="BF127" s="208"/>
      <c r="BG127" s="37">
        <f t="shared" si="100"/>
        <v>90</v>
      </c>
      <c r="BH127" s="8">
        <f t="shared" si="90"/>
        <v>448.78537399059081</v>
      </c>
      <c r="BI127" s="8"/>
      <c r="BJ127" s="37">
        <f t="shared" si="101"/>
        <v>90</v>
      </c>
      <c r="BK127" s="8">
        <f t="shared" si="91"/>
        <v>0</v>
      </c>
      <c r="BL127" s="8"/>
      <c r="BM127" s="13"/>
      <c r="BN127" s="14"/>
      <c r="BO127" s="14"/>
      <c r="BP127" s="14"/>
      <c r="BQ127" s="14"/>
      <c r="BR127" s="12"/>
    </row>
    <row r="128" spans="2:70" ht="13.8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6"/>
      <c r="AD128" s="136"/>
      <c r="AE128" s="136"/>
      <c r="AF128" s="136"/>
      <c r="AG128" s="13"/>
      <c r="AH128" s="14"/>
      <c r="AI128" s="44">
        <f t="shared" si="99"/>
        <v>91</v>
      </c>
      <c r="AJ128" s="55">
        <f t="shared" si="98"/>
        <v>5526913.4727905272</v>
      </c>
      <c r="AK128" s="59">
        <v>6</v>
      </c>
      <c r="AN128"/>
      <c r="AO128"/>
      <c r="AP128"/>
      <c r="AQ128"/>
      <c r="AR128"/>
      <c r="AS128"/>
      <c r="AT128"/>
      <c r="AU128"/>
      <c r="AV128"/>
      <c r="AW128"/>
      <c r="AX128"/>
      <c r="AY128" s="11"/>
      <c r="AZ128" s="11"/>
      <c r="BA128" s="36">
        <f t="shared" si="68"/>
        <v>91</v>
      </c>
      <c r="BB128" s="35">
        <f t="shared" si="107"/>
        <v>56248.933666331635</v>
      </c>
      <c r="BC128" s="120"/>
      <c r="BD128" s="307">
        <f t="shared" si="69"/>
        <v>91</v>
      </c>
      <c r="BE128" s="303">
        <f t="shared" si="70"/>
        <v>39680.782328648078</v>
      </c>
      <c r="BF128" s="208"/>
      <c r="BG128" s="37">
        <f t="shared" si="100"/>
        <v>91</v>
      </c>
      <c r="BH128" s="8">
        <f t="shared" si="90"/>
        <v>448.78537399059081</v>
      </c>
      <c r="BI128" s="8"/>
      <c r="BJ128" s="37">
        <f t="shared" si="101"/>
        <v>91</v>
      </c>
      <c r="BK128" s="8">
        <f t="shared" si="91"/>
        <v>0</v>
      </c>
      <c r="BL128" s="8"/>
      <c r="BM128" s="13"/>
      <c r="BN128" s="14"/>
      <c r="BO128" s="14"/>
      <c r="BP128" s="14"/>
      <c r="BQ128" s="14"/>
      <c r="BR128" s="12"/>
    </row>
    <row r="129" spans="2:70" ht="13.8" x14ac:dyDescent="0.25"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6"/>
      <c r="AD129" s="136"/>
      <c r="AE129" s="136"/>
      <c r="AF129" s="136"/>
      <c r="AG129" s="13"/>
      <c r="AH129" s="14"/>
      <c r="AI129" s="44">
        <f t="shared" si="99"/>
        <v>92</v>
      </c>
      <c r="AJ129" s="55">
        <f>AJ128</f>
        <v>5526913.4727905272</v>
      </c>
      <c r="AK129" s="59">
        <v>7</v>
      </c>
      <c r="AN129"/>
      <c r="AO129"/>
      <c r="AP129"/>
      <c r="AQ129"/>
      <c r="AR129"/>
      <c r="AS129"/>
      <c r="AT129"/>
      <c r="AU129"/>
      <c r="AV129"/>
      <c r="AW129"/>
      <c r="AX129"/>
      <c r="AY129" s="11"/>
      <c r="AZ129" s="11"/>
      <c r="BA129" s="36">
        <f>BA128+1</f>
        <v>92</v>
      </c>
      <c r="BB129" s="35">
        <f t="shared" si="107"/>
        <v>56248.933666331635</v>
      </c>
      <c r="BC129" s="120"/>
      <c r="BD129" s="308">
        <f>BD128+1</f>
        <v>92</v>
      </c>
      <c r="BE129" s="303">
        <f t="shared" si="70"/>
        <v>39680.782328648078</v>
      </c>
      <c r="BF129" s="208"/>
      <c r="BG129" s="37">
        <f t="shared" si="100"/>
        <v>92</v>
      </c>
      <c r="BH129" s="8">
        <f t="shared" si="90"/>
        <v>448.78537399059081</v>
      </c>
      <c r="BI129" s="11"/>
      <c r="BJ129" s="37">
        <f t="shared" si="101"/>
        <v>92</v>
      </c>
      <c r="BK129" s="8">
        <f t="shared" si="91"/>
        <v>0</v>
      </c>
      <c r="BL129" s="8"/>
      <c r="BM129" s="3"/>
      <c r="BN129" s="11"/>
      <c r="BO129" s="3"/>
      <c r="BP129" s="3"/>
      <c r="BQ129" s="3"/>
      <c r="BR129" s="3"/>
    </row>
    <row r="130" spans="2:70" ht="13.8" x14ac:dyDescent="0.25"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6"/>
      <c r="AD130" s="136"/>
      <c r="AE130" s="136"/>
      <c r="AF130" s="136"/>
      <c r="AG130" s="13"/>
      <c r="AH130" s="14"/>
      <c r="AI130" s="44">
        <f t="shared" si="99"/>
        <v>93</v>
      </c>
      <c r="AJ130" s="55">
        <f>AJ129</f>
        <v>5526913.4727905272</v>
      </c>
      <c r="AK130" s="59">
        <v>8</v>
      </c>
      <c r="AN130"/>
      <c r="AO130"/>
      <c r="AP130"/>
      <c r="AQ130"/>
      <c r="AR130"/>
      <c r="AS130"/>
      <c r="AT130"/>
      <c r="AU130"/>
      <c r="AV130"/>
      <c r="AW130"/>
      <c r="AX130"/>
      <c r="AY130" s="11"/>
      <c r="AZ130" s="11"/>
      <c r="BA130" s="36">
        <f t="shared" ref="BA130:BA153" si="108">+BA129+1</f>
        <v>93</v>
      </c>
      <c r="BB130" s="35">
        <f t="shared" si="107"/>
        <v>56248.933666331635</v>
      </c>
      <c r="BC130" s="120"/>
      <c r="BD130" s="307">
        <f t="shared" ref="BD130:BD153" si="109">+BD129+1</f>
        <v>93</v>
      </c>
      <c r="BE130" s="303">
        <f t="shared" si="70"/>
        <v>39680.782328648078</v>
      </c>
      <c r="BF130" s="208"/>
      <c r="BG130" s="37">
        <f t="shared" si="100"/>
        <v>93</v>
      </c>
      <c r="BH130" s="8">
        <f t="shared" si="90"/>
        <v>448.78537399059081</v>
      </c>
      <c r="BI130" s="11"/>
      <c r="BJ130" s="37">
        <f t="shared" si="101"/>
        <v>93</v>
      </c>
      <c r="BK130" s="8">
        <f t="shared" si="91"/>
        <v>0</v>
      </c>
      <c r="BL130" s="8"/>
      <c r="BM130" s="3"/>
      <c r="BN130" s="11"/>
      <c r="BO130" s="3"/>
      <c r="BP130" s="3"/>
      <c r="BQ130" s="3"/>
      <c r="BR130" s="3"/>
    </row>
    <row r="131" spans="2:70" ht="13.8" x14ac:dyDescent="0.25"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6"/>
      <c r="AD131" s="136"/>
      <c r="AE131" s="136"/>
      <c r="AF131" s="136"/>
      <c r="AG131" s="13"/>
      <c r="AH131" s="14"/>
      <c r="AI131" s="44">
        <f t="shared" si="99"/>
        <v>94</v>
      </c>
      <c r="AJ131" s="55">
        <f t="shared" ref="AJ131:AJ134" si="110">AJ130</f>
        <v>5526913.4727905272</v>
      </c>
      <c r="AK131" s="59">
        <v>9</v>
      </c>
      <c r="AN131"/>
      <c r="AO131"/>
      <c r="AP131"/>
      <c r="AQ131"/>
      <c r="AR131"/>
      <c r="AS131"/>
      <c r="AT131"/>
      <c r="AU131"/>
      <c r="AV131"/>
      <c r="AW131"/>
      <c r="AX131"/>
      <c r="AY131" s="11"/>
      <c r="AZ131" s="11"/>
      <c r="BA131" s="36">
        <f t="shared" si="108"/>
        <v>94</v>
      </c>
      <c r="BB131" s="35">
        <f t="shared" si="107"/>
        <v>56248.933666331635</v>
      </c>
      <c r="BC131" s="120"/>
      <c r="BD131" s="307">
        <f t="shared" si="109"/>
        <v>94</v>
      </c>
      <c r="BE131" s="303">
        <f t="shared" si="70"/>
        <v>39680.782328648078</v>
      </c>
      <c r="BF131" s="208"/>
      <c r="BG131" s="37">
        <f t="shared" si="100"/>
        <v>94</v>
      </c>
      <c r="BH131" s="8">
        <f t="shared" ref="BH131:BH153" si="111">VLOOKUP(BA131,$AI$39:$AJ$158,2,0)*($G$15*1.16)*5%*(IF(Q71/BB131=1,1,Q71/BB131))</f>
        <v>448.78537399059081</v>
      </c>
      <c r="BI131" s="8"/>
      <c r="BJ131" s="37">
        <f t="shared" si="101"/>
        <v>94</v>
      </c>
      <c r="BK131" s="8">
        <f t="shared" si="91"/>
        <v>0</v>
      </c>
      <c r="BL131" s="8"/>
      <c r="BM131" s="3"/>
      <c r="BN131" s="11"/>
      <c r="BO131" s="3"/>
      <c r="BP131" s="3"/>
      <c r="BQ131" s="3"/>
      <c r="BR131" s="3"/>
    </row>
    <row r="132" spans="2:70" ht="13.8" x14ac:dyDescent="0.25"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6"/>
      <c r="AD132" s="136"/>
      <c r="AE132" s="136"/>
      <c r="AF132" s="136"/>
      <c r="AG132" s="13"/>
      <c r="AH132" s="14"/>
      <c r="AI132" s="44">
        <f t="shared" si="99"/>
        <v>95</v>
      </c>
      <c r="AJ132" s="55">
        <f t="shared" si="110"/>
        <v>5526913.4727905272</v>
      </c>
      <c r="AK132" s="59">
        <v>10</v>
      </c>
      <c r="AN132"/>
      <c r="AO132"/>
      <c r="AP132"/>
      <c r="AQ132"/>
      <c r="AR132"/>
      <c r="AS132"/>
      <c r="AT132"/>
      <c r="AU132"/>
      <c r="AV132"/>
      <c r="AW132"/>
      <c r="AX132"/>
      <c r="AY132" s="11"/>
      <c r="AZ132" s="11"/>
      <c r="BA132" s="36">
        <f t="shared" si="108"/>
        <v>95</v>
      </c>
      <c r="BB132" s="35">
        <f t="shared" si="107"/>
        <v>56248.933666331635</v>
      </c>
      <c r="BC132" s="120"/>
      <c r="BD132" s="307">
        <f t="shared" si="109"/>
        <v>95</v>
      </c>
      <c r="BE132" s="303">
        <f t="shared" si="70"/>
        <v>39680.782328648078</v>
      </c>
      <c r="BF132" s="208"/>
      <c r="BG132" s="37">
        <f t="shared" si="100"/>
        <v>95</v>
      </c>
      <c r="BH132" s="8">
        <f t="shared" si="111"/>
        <v>448.78537399059081</v>
      </c>
      <c r="BI132" s="8"/>
      <c r="BJ132" s="37">
        <f t="shared" si="101"/>
        <v>95</v>
      </c>
      <c r="BK132" s="8">
        <f t="shared" si="91"/>
        <v>0</v>
      </c>
      <c r="BL132" s="8"/>
      <c r="BM132" s="3"/>
      <c r="BN132" s="11"/>
      <c r="BO132" s="3"/>
      <c r="BP132" s="3"/>
      <c r="BQ132" s="3"/>
      <c r="BR132" s="3"/>
    </row>
    <row r="133" spans="2:70" ht="13.8" x14ac:dyDescent="0.25"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6"/>
      <c r="AD133" s="136"/>
      <c r="AE133" s="136"/>
      <c r="AF133" s="136"/>
      <c r="AG133" s="13"/>
      <c r="AH133" s="14"/>
      <c r="AI133" s="44">
        <f t="shared" si="99"/>
        <v>96</v>
      </c>
      <c r="AJ133" s="55">
        <f t="shared" si="110"/>
        <v>5526913.4727905272</v>
      </c>
      <c r="AK133" s="59">
        <v>11</v>
      </c>
      <c r="AN133"/>
      <c r="AO133"/>
      <c r="AP133"/>
      <c r="AQ133"/>
      <c r="AR133"/>
      <c r="AS133"/>
      <c r="AT133"/>
      <c r="AU133"/>
      <c r="AV133"/>
      <c r="AW133"/>
      <c r="AX133"/>
      <c r="AY133" s="11"/>
      <c r="AZ133" s="11"/>
      <c r="BA133" s="36">
        <f t="shared" si="108"/>
        <v>96</v>
      </c>
      <c r="BB133" s="35">
        <f t="shared" si="107"/>
        <v>56248.933666331635</v>
      </c>
      <c r="BC133" s="120"/>
      <c r="BD133" s="307">
        <f t="shared" si="109"/>
        <v>96</v>
      </c>
      <c r="BE133" s="303">
        <f t="shared" si="70"/>
        <v>39680.782328648078</v>
      </c>
      <c r="BF133" s="208"/>
      <c r="BG133" s="37">
        <f t="shared" si="100"/>
        <v>96</v>
      </c>
      <c r="BH133" s="8">
        <f t="shared" si="111"/>
        <v>448.78537399059081</v>
      </c>
      <c r="BI133" s="8"/>
      <c r="BJ133" s="37">
        <f t="shared" si="101"/>
        <v>96</v>
      </c>
      <c r="BK133" s="8">
        <f t="shared" si="91"/>
        <v>0</v>
      </c>
      <c r="BL133" s="8"/>
      <c r="BM133" s="3"/>
      <c r="BN133" s="11"/>
      <c r="BO133" s="3"/>
      <c r="BP133" s="3"/>
      <c r="BQ133" s="3"/>
      <c r="BR133" s="3"/>
    </row>
    <row r="134" spans="2:70" ht="13.8" x14ac:dyDescent="0.25"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6"/>
      <c r="AD134" s="136"/>
      <c r="AE134" s="136"/>
      <c r="AF134" s="136"/>
      <c r="AG134" s="13"/>
      <c r="AH134" s="14"/>
      <c r="AI134" s="44">
        <f t="shared" si="99"/>
        <v>97</v>
      </c>
      <c r="AJ134" s="55">
        <f t="shared" si="110"/>
        <v>5526913.4727905272</v>
      </c>
      <c r="AK134" s="59">
        <v>12</v>
      </c>
      <c r="AN134"/>
      <c r="AO134"/>
      <c r="AP134"/>
      <c r="AQ134"/>
      <c r="AR134"/>
      <c r="AS134"/>
      <c r="AT134"/>
      <c r="AU134"/>
      <c r="AV134"/>
      <c r="AW134"/>
      <c r="AX134"/>
      <c r="AY134" s="11"/>
      <c r="AZ134" s="11"/>
      <c r="BA134" s="36">
        <f t="shared" si="108"/>
        <v>97</v>
      </c>
      <c r="BB134" s="35">
        <f t="shared" si="107"/>
        <v>56248.933666331635</v>
      </c>
      <c r="BC134" s="120"/>
      <c r="BD134" s="307">
        <f t="shared" si="109"/>
        <v>97</v>
      </c>
      <c r="BE134" s="303">
        <f t="shared" si="70"/>
        <v>39680.782328648078</v>
      </c>
      <c r="BF134" s="208"/>
      <c r="BG134" s="37">
        <f t="shared" si="100"/>
        <v>97</v>
      </c>
      <c r="BH134" s="8">
        <f t="shared" si="111"/>
        <v>448.78537399059081</v>
      </c>
      <c r="BI134" s="11"/>
      <c r="BJ134" s="37">
        <f t="shared" si="101"/>
        <v>97</v>
      </c>
      <c r="BK134" s="8">
        <f t="shared" si="91"/>
        <v>0</v>
      </c>
      <c r="BL134" s="8"/>
      <c r="BM134" s="3"/>
      <c r="BN134" s="11"/>
      <c r="BO134" s="3"/>
      <c r="BP134" s="3"/>
      <c r="BQ134" s="3"/>
      <c r="BR134" s="3"/>
    </row>
    <row r="135" spans="2:70" ht="13.8" x14ac:dyDescent="0.25"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6"/>
      <c r="AD135" s="136"/>
      <c r="AE135" s="136"/>
      <c r="AF135" s="136"/>
      <c r="AG135" s="13"/>
      <c r="AH135" s="14"/>
      <c r="AI135" s="44">
        <f t="shared" si="99"/>
        <v>98</v>
      </c>
      <c r="AJ135" s="55">
        <f>((AJ134)+(AJ134*$E$29))</f>
        <v>5747990.0117021482</v>
      </c>
      <c r="AK135" s="59">
        <v>1</v>
      </c>
      <c r="AN135"/>
      <c r="AO135"/>
      <c r="AP135"/>
      <c r="AQ135"/>
      <c r="AR135"/>
      <c r="AS135"/>
      <c r="AT135"/>
      <c r="AU135"/>
      <c r="AV135"/>
      <c r="AW135"/>
      <c r="AX135"/>
      <c r="AY135" s="11"/>
      <c r="AZ135" s="11"/>
      <c r="BA135" s="36">
        <f t="shared" si="108"/>
        <v>98</v>
      </c>
      <c r="BB135" s="35">
        <f t="shared" si="107"/>
        <v>58498.891012984895</v>
      </c>
      <c r="BC135" s="120"/>
      <c r="BD135" s="307">
        <f t="shared" si="109"/>
        <v>98</v>
      </c>
      <c r="BE135" s="303">
        <f t="shared" si="70"/>
        <v>41268.013621794002</v>
      </c>
      <c r="BF135" s="208"/>
      <c r="BG135" s="37">
        <f t="shared" si="100"/>
        <v>98</v>
      </c>
      <c r="BH135" s="8">
        <f t="shared" si="111"/>
        <v>466.73678895021442</v>
      </c>
      <c r="BI135" s="11"/>
      <c r="BJ135" s="37">
        <f t="shared" si="101"/>
        <v>98</v>
      </c>
      <c r="BK135" s="8">
        <f t="shared" si="91"/>
        <v>0</v>
      </c>
      <c r="BL135" s="8"/>
      <c r="BM135" s="3"/>
      <c r="BN135" s="11"/>
      <c r="BO135" s="3"/>
      <c r="BP135" s="3"/>
      <c r="BQ135" s="3"/>
      <c r="BR135" s="3"/>
    </row>
    <row r="136" spans="2:70" ht="13.8" x14ac:dyDescent="0.25"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G136" s="13"/>
      <c r="AH136" s="14"/>
      <c r="AI136" s="44">
        <f t="shared" si="99"/>
        <v>99</v>
      </c>
      <c r="AJ136" s="55">
        <f>AJ135</f>
        <v>5747990.0117021482</v>
      </c>
      <c r="AK136" s="59">
        <v>2</v>
      </c>
      <c r="AN136"/>
      <c r="AO136"/>
      <c r="AP136"/>
      <c r="AQ136"/>
      <c r="AR136"/>
      <c r="AS136"/>
      <c r="AT136"/>
      <c r="AU136"/>
      <c r="AV136"/>
      <c r="AW136"/>
      <c r="AX136"/>
      <c r="AY136" s="11"/>
      <c r="AZ136" s="11"/>
      <c r="BA136" s="36">
        <f t="shared" si="108"/>
        <v>99</v>
      </c>
      <c r="BB136" s="35">
        <f t="shared" si="107"/>
        <v>58498.891012984895</v>
      </c>
      <c r="BC136" s="120"/>
      <c r="BD136" s="307">
        <f t="shared" si="109"/>
        <v>99</v>
      </c>
      <c r="BE136" s="303">
        <f t="shared" si="70"/>
        <v>41268.013621794002</v>
      </c>
      <c r="BF136" s="208"/>
      <c r="BG136" s="37">
        <f t="shared" si="100"/>
        <v>99</v>
      </c>
      <c r="BH136" s="8">
        <f t="shared" si="111"/>
        <v>466.73678895021442</v>
      </c>
      <c r="BI136" s="11"/>
      <c r="BJ136" s="37">
        <f t="shared" si="101"/>
        <v>99</v>
      </c>
      <c r="BK136" s="8">
        <f t="shared" si="91"/>
        <v>0</v>
      </c>
      <c r="BL136" s="8"/>
      <c r="BM136" s="3"/>
      <c r="BN136" s="11"/>
      <c r="BO136" s="3"/>
      <c r="BP136" s="3"/>
      <c r="BQ136" s="3"/>
      <c r="BR136" s="3"/>
    </row>
    <row r="137" spans="2:70" ht="13.8" x14ac:dyDescent="0.25"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G137" s="13"/>
      <c r="AH137" s="14"/>
      <c r="AI137" s="44">
        <f t="shared" si="99"/>
        <v>100</v>
      </c>
      <c r="AJ137" s="55">
        <f t="shared" ref="AJ137:AJ146" si="112">AJ136</f>
        <v>5747990.0117021482</v>
      </c>
      <c r="AK137" s="59">
        <v>3</v>
      </c>
      <c r="AN137"/>
      <c r="AO137"/>
      <c r="AP137"/>
      <c r="AQ137"/>
      <c r="AR137"/>
      <c r="AS137"/>
      <c r="AT137"/>
      <c r="AU137"/>
      <c r="AV137"/>
      <c r="AW137"/>
      <c r="AX137"/>
      <c r="AY137" s="11"/>
      <c r="AZ137" s="11"/>
      <c r="BA137" s="36">
        <f t="shared" si="108"/>
        <v>100</v>
      </c>
      <c r="BB137" s="35">
        <f t="shared" si="107"/>
        <v>58498.891012984895</v>
      </c>
      <c r="BC137" s="120"/>
      <c r="BD137" s="307">
        <f t="shared" si="109"/>
        <v>100</v>
      </c>
      <c r="BE137" s="303">
        <f t="shared" si="70"/>
        <v>41268.013621794002</v>
      </c>
      <c r="BF137" s="208"/>
      <c r="BG137" s="37">
        <f t="shared" si="100"/>
        <v>100</v>
      </c>
      <c r="BH137" s="8">
        <f t="shared" si="111"/>
        <v>466.73678895021442</v>
      </c>
      <c r="BI137" s="11"/>
      <c r="BJ137" s="37">
        <f t="shared" si="101"/>
        <v>100</v>
      </c>
      <c r="BK137" s="8">
        <f t="shared" si="91"/>
        <v>0</v>
      </c>
      <c r="BL137" s="8"/>
      <c r="BM137" s="3"/>
      <c r="BN137" s="11"/>
      <c r="BO137" s="3"/>
      <c r="BP137" s="3"/>
      <c r="BQ137" s="3"/>
      <c r="BR137" s="3"/>
    </row>
    <row r="138" spans="2:70" ht="13.8" x14ac:dyDescent="0.25"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G138" s="13"/>
      <c r="AH138" s="14"/>
      <c r="AI138" s="44">
        <f t="shared" si="99"/>
        <v>101</v>
      </c>
      <c r="AJ138" s="55">
        <f t="shared" si="112"/>
        <v>5747990.0117021482</v>
      </c>
      <c r="AK138" s="59">
        <v>4</v>
      </c>
      <c r="AN138"/>
      <c r="AO138"/>
      <c r="AP138"/>
      <c r="AQ138"/>
      <c r="AR138"/>
      <c r="AS138"/>
      <c r="AT138"/>
      <c r="AU138"/>
      <c r="AV138"/>
      <c r="AW138"/>
      <c r="AX138"/>
      <c r="AY138" s="11"/>
      <c r="AZ138" s="11"/>
      <c r="BA138" s="36">
        <f t="shared" si="108"/>
        <v>101</v>
      </c>
      <c r="BB138" s="35">
        <f t="shared" si="107"/>
        <v>58498.891012984895</v>
      </c>
      <c r="BC138" s="120"/>
      <c r="BD138" s="307">
        <f t="shared" si="109"/>
        <v>101</v>
      </c>
      <c r="BE138" s="303">
        <f t="shared" si="70"/>
        <v>41268.013621794002</v>
      </c>
      <c r="BF138" s="208"/>
      <c r="BG138" s="37">
        <f t="shared" si="100"/>
        <v>101</v>
      </c>
      <c r="BH138" s="8">
        <f t="shared" si="111"/>
        <v>466.73678895021442</v>
      </c>
      <c r="BI138" s="11"/>
      <c r="BJ138" s="37">
        <f t="shared" si="101"/>
        <v>101</v>
      </c>
      <c r="BK138" s="8">
        <f t="shared" si="91"/>
        <v>0</v>
      </c>
      <c r="BL138" s="8"/>
      <c r="BM138" s="3"/>
      <c r="BN138" s="11"/>
      <c r="BO138" s="3"/>
      <c r="BP138" s="3"/>
      <c r="BQ138" s="3"/>
      <c r="BR138" s="3"/>
    </row>
    <row r="139" spans="2:70" ht="13.8" x14ac:dyDescent="0.25"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G139" s="13"/>
      <c r="AH139" s="14"/>
      <c r="AI139" s="44">
        <f t="shared" si="99"/>
        <v>102</v>
      </c>
      <c r="AJ139" s="55">
        <f t="shared" si="112"/>
        <v>5747990.0117021482</v>
      </c>
      <c r="AK139" s="59">
        <v>5</v>
      </c>
      <c r="AN139"/>
      <c r="AO139"/>
      <c r="AP139"/>
      <c r="AQ139"/>
      <c r="AR139"/>
      <c r="AS139"/>
      <c r="AT139"/>
      <c r="AU139"/>
      <c r="AV139"/>
      <c r="AW139"/>
      <c r="AX139"/>
      <c r="AY139" s="11"/>
      <c r="AZ139" s="11"/>
      <c r="BA139" s="36">
        <f t="shared" si="108"/>
        <v>102</v>
      </c>
      <c r="BB139" s="35">
        <f t="shared" si="107"/>
        <v>58498.891012984895</v>
      </c>
      <c r="BC139" s="120"/>
      <c r="BD139" s="307">
        <f t="shared" si="109"/>
        <v>102</v>
      </c>
      <c r="BE139" s="303">
        <f t="shared" ref="BE139:BE153" si="113">AJ139/$B$10+AJ139*($G$15*(100%-$BE$29)*1.16)</f>
        <v>41268.013621794002</v>
      </c>
      <c r="BF139" s="208"/>
      <c r="BG139" s="37">
        <f t="shared" si="100"/>
        <v>102</v>
      </c>
      <c r="BH139" s="8">
        <f t="shared" si="111"/>
        <v>466.73678895021442</v>
      </c>
      <c r="BI139" s="11"/>
      <c r="BJ139" s="37">
        <f t="shared" si="101"/>
        <v>102</v>
      </c>
      <c r="BK139" s="8">
        <f t="shared" si="91"/>
        <v>0</v>
      </c>
      <c r="BL139" s="8"/>
      <c r="BM139" s="3"/>
      <c r="BN139" s="11"/>
      <c r="BO139" s="3"/>
      <c r="BP139" s="3"/>
      <c r="BQ139" s="3"/>
      <c r="BR139" s="3"/>
    </row>
    <row r="140" spans="2:70" ht="13.8" x14ac:dyDescent="0.25"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G140" s="13"/>
      <c r="AH140" s="14"/>
      <c r="AI140" s="44">
        <f t="shared" si="99"/>
        <v>103</v>
      </c>
      <c r="AJ140" s="55">
        <f t="shared" si="112"/>
        <v>5747990.0117021482</v>
      </c>
      <c r="AK140" s="59">
        <v>6</v>
      </c>
      <c r="AN140"/>
      <c r="AO140"/>
      <c r="AP140"/>
      <c r="AQ140"/>
      <c r="AR140"/>
      <c r="AS140"/>
      <c r="AT140"/>
      <c r="AU140"/>
      <c r="AV140"/>
      <c r="AW140"/>
      <c r="AX140"/>
      <c r="AY140" s="11"/>
      <c r="AZ140" s="11"/>
      <c r="BA140" s="36">
        <f t="shared" si="108"/>
        <v>103</v>
      </c>
      <c r="BB140" s="35">
        <f t="shared" si="107"/>
        <v>58498.891012984895</v>
      </c>
      <c r="BC140" s="120"/>
      <c r="BD140" s="307">
        <f t="shared" si="109"/>
        <v>103</v>
      </c>
      <c r="BE140" s="303">
        <f t="shared" si="113"/>
        <v>41268.013621794002</v>
      </c>
      <c r="BF140" s="208"/>
      <c r="BG140" s="37">
        <f t="shared" si="100"/>
        <v>103</v>
      </c>
      <c r="BH140" s="8">
        <f t="shared" si="111"/>
        <v>466.73678895021442</v>
      </c>
      <c r="BI140" s="11"/>
      <c r="BJ140" s="37">
        <f t="shared" si="101"/>
        <v>103</v>
      </c>
      <c r="BK140" s="8">
        <f t="shared" si="91"/>
        <v>0</v>
      </c>
      <c r="BL140" s="8"/>
      <c r="BM140" s="3"/>
      <c r="BN140" s="11"/>
      <c r="BO140" s="3"/>
      <c r="BP140" s="3"/>
      <c r="BQ140" s="3"/>
      <c r="BR140" s="3"/>
    </row>
    <row r="141" spans="2:70" ht="13.8" x14ac:dyDescent="0.25"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G141" s="13"/>
      <c r="AH141" s="14"/>
      <c r="AI141" s="44">
        <f t="shared" si="99"/>
        <v>104</v>
      </c>
      <c r="AJ141" s="55">
        <f t="shared" si="112"/>
        <v>5747990.0117021482</v>
      </c>
      <c r="AK141" s="59">
        <v>7</v>
      </c>
      <c r="AN141"/>
      <c r="AO141"/>
      <c r="AP141"/>
      <c r="AQ141"/>
      <c r="AR141"/>
      <c r="AS141"/>
      <c r="AT141"/>
      <c r="AU141"/>
      <c r="AV141"/>
      <c r="AW141"/>
      <c r="AX141"/>
      <c r="AY141" s="11"/>
      <c r="AZ141" s="11"/>
      <c r="BA141" s="36">
        <f t="shared" si="108"/>
        <v>104</v>
      </c>
      <c r="BB141" s="35">
        <f t="shared" si="107"/>
        <v>58498.891012984895</v>
      </c>
      <c r="BC141" s="120"/>
      <c r="BD141" s="307">
        <f t="shared" si="109"/>
        <v>104</v>
      </c>
      <c r="BE141" s="303">
        <f t="shared" si="113"/>
        <v>41268.013621794002</v>
      </c>
      <c r="BF141" s="208"/>
      <c r="BG141" s="37">
        <f t="shared" si="100"/>
        <v>104</v>
      </c>
      <c r="BH141" s="8">
        <f t="shared" si="111"/>
        <v>466.73678895021442</v>
      </c>
      <c r="BI141" s="11"/>
      <c r="BJ141" s="37">
        <f t="shared" si="101"/>
        <v>104</v>
      </c>
      <c r="BK141" s="8">
        <f t="shared" si="91"/>
        <v>0</v>
      </c>
      <c r="BL141" s="8"/>
      <c r="BM141" s="3"/>
      <c r="BN141" s="11"/>
      <c r="BO141" s="3"/>
      <c r="BP141" s="3"/>
      <c r="BQ141" s="3"/>
      <c r="BR141" s="3"/>
    </row>
    <row r="142" spans="2:70" ht="13.8" x14ac:dyDescent="0.25"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G142" s="13"/>
      <c r="AH142" s="14"/>
      <c r="AI142" s="44">
        <f t="shared" si="99"/>
        <v>105</v>
      </c>
      <c r="AJ142" s="55">
        <f t="shared" si="112"/>
        <v>5747990.0117021482</v>
      </c>
      <c r="AK142" s="59">
        <v>8</v>
      </c>
      <c r="AN142"/>
      <c r="AO142"/>
      <c r="AP142"/>
      <c r="AQ142"/>
      <c r="AR142"/>
      <c r="AS142"/>
      <c r="AT142"/>
      <c r="AU142"/>
      <c r="AV142"/>
      <c r="AW142"/>
      <c r="AX142"/>
      <c r="AY142" s="11"/>
      <c r="AZ142" s="11"/>
      <c r="BA142" s="36">
        <f t="shared" si="108"/>
        <v>105</v>
      </c>
      <c r="BB142" s="35">
        <f t="shared" si="107"/>
        <v>58498.891012984895</v>
      </c>
      <c r="BC142" s="120"/>
      <c r="BD142" s="307">
        <f t="shared" si="109"/>
        <v>105</v>
      </c>
      <c r="BE142" s="303">
        <f t="shared" si="113"/>
        <v>41268.013621794002</v>
      </c>
      <c r="BF142" s="208"/>
      <c r="BG142" s="37">
        <f t="shared" si="100"/>
        <v>105</v>
      </c>
      <c r="BH142" s="8">
        <f t="shared" si="111"/>
        <v>466.73678895021442</v>
      </c>
      <c r="BI142" s="8"/>
      <c r="BJ142" s="37">
        <f t="shared" si="101"/>
        <v>105</v>
      </c>
      <c r="BK142" s="8">
        <f t="shared" si="91"/>
        <v>0</v>
      </c>
      <c r="BL142" s="8"/>
      <c r="BN142" s="8"/>
    </row>
    <row r="143" spans="2:70" ht="13.8" x14ac:dyDescent="0.25"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G143" s="13"/>
      <c r="AH143" s="14"/>
      <c r="AI143" s="44">
        <f t="shared" si="99"/>
        <v>106</v>
      </c>
      <c r="AJ143" s="55">
        <f t="shared" si="112"/>
        <v>5747990.0117021482</v>
      </c>
      <c r="AK143" s="59">
        <v>9</v>
      </c>
      <c r="AN143"/>
      <c r="AO143"/>
      <c r="AP143"/>
      <c r="AQ143"/>
      <c r="AR143"/>
      <c r="AS143"/>
      <c r="AT143"/>
      <c r="AU143"/>
      <c r="AV143"/>
      <c r="AW143"/>
      <c r="AX143"/>
      <c r="AY143" s="11"/>
      <c r="AZ143" s="11"/>
      <c r="BA143" s="36">
        <f t="shared" si="108"/>
        <v>106</v>
      </c>
      <c r="BB143" s="35">
        <f t="shared" si="107"/>
        <v>58498.891012984895</v>
      </c>
      <c r="BC143" s="120"/>
      <c r="BD143" s="307">
        <f t="shared" si="109"/>
        <v>106</v>
      </c>
      <c r="BE143" s="303">
        <f t="shared" si="113"/>
        <v>41268.013621794002</v>
      </c>
      <c r="BF143" s="208"/>
      <c r="BG143" s="37">
        <f t="shared" si="100"/>
        <v>106</v>
      </c>
      <c r="BH143" s="8">
        <f t="shared" si="111"/>
        <v>466.73678895021442</v>
      </c>
      <c r="BI143" s="8"/>
      <c r="BJ143" s="37">
        <f t="shared" si="101"/>
        <v>106</v>
      </c>
      <c r="BK143" s="8">
        <f t="shared" si="91"/>
        <v>0</v>
      </c>
      <c r="BL143" s="8"/>
      <c r="BN143" s="8"/>
    </row>
    <row r="144" spans="2:70" ht="13.8" x14ac:dyDescent="0.25"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G144" s="13"/>
      <c r="AH144" s="14"/>
      <c r="AI144" s="44">
        <f t="shared" si="99"/>
        <v>107</v>
      </c>
      <c r="AJ144" s="55">
        <f t="shared" si="112"/>
        <v>5747990.0117021482</v>
      </c>
      <c r="AK144" s="59">
        <v>10</v>
      </c>
      <c r="AN144"/>
      <c r="AO144"/>
      <c r="AP144"/>
      <c r="AQ144"/>
      <c r="AR144"/>
      <c r="AS144"/>
      <c r="AT144"/>
      <c r="AU144"/>
      <c r="AV144"/>
      <c r="AW144"/>
      <c r="AX144"/>
      <c r="AY144" s="11"/>
      <c r="AZ144" s="11"/>
      <c r="BA144" s="36">
        <f t="shared" si="108"/>
        <v>107</v>
      </c>
      <c r="BB144" s="35">
        <f t="shared" si="107"/>
        <v>58498.891012984895</v>
      </c>
      <c r="BC144" s="120"/>
      <c r="BD144" s="307">
        <f t="shared" si="109"/>
        <v>107</v>
      </c>
      <c r="BE144" s="303">
        <f t="shared" si="113"/>
        <v>41268.013621794002</v>
      </c>
      <c r="BF144" s="208"/>
      <c r="BG144" s="37">
        <f t="shared" si="100"/>
        <v>107</v>
      </c>
      <c r="BH144" s="8">
        <f t="shared" si="111"/>
        <v>466.73678895021442</v>
      </c>
      <c r="BI144" s="8"/>
      <c r="BJ144" s="37">
        <f t="shared" si="101"/>
        <v>107</v>
      </c>
      <c r="BK144" s="8">
        <f t="shared" si="91"/>
        <v>0</v>
      </c>
      <c r="BL144" s="8"/>
      <c r="BM144" s="8"/>
      <c r="BN144" s="8"/>
    </row>
    <row r="145" spans="2:66" ht="13.8" x14ac:dyDescent="0.25"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G145" s="13"/>
      <c r="AH145" s="14"/>
      <c r="AI145" s="44">
        <f t="shared" si="99"/>
        <v>108</v>
      </c>
      <c r="AJ145" s="55">
        <f t="shared" si="112"/>
        <v>5747990.0117021482</v>
      </c>
      <c r="AK145" s="59">
        <v>11</v>
      </c>
      <c r="AN145"/>
      <c r="AO145"/>
      <c r="AP145"/>
      <c r="AQ145"/>
      <c r="AR145"/>
      <c r="AS145"/>
      <c r="AT145"/>
      <c r="AU145"/>
      <c r="AV145"/>
      <c r="AW145"/>
      <c r="AX145"/>
      <c r="AY145" s="11"/>
      <c r="AZ145" s="11"/>
      <c r="BA145" s="36">
        <f t="shared" si="108"/>
        <v>108</v>
      </c>
      <c r="BB145" s="35">
        <f t="shared" si="107"/>
        <v>58498.891012984895</v>
      </c>
      <c r="BC145" s="120"/>
      <c r="BD145" s="307">
        <f t="shared" si="109"/>
        <v>108</v>
      </c>
      <c r="BE145" s="303">
        <f t="shared" si="113"/>
        <v>41268.013621794002</v>
      </c>
      <c r="BF145" s="208"/>
      <c r="BG145" s="37">
        <f t="shared" si="100"/>
        <v>108</v>
      </c>
      <c r="BH145" s="8">
        <f t="shared" si="111"/>
        <v>466.73678895021442</v>
      </c>
      <c r="BI145" s="8"/>
      <c r="BJ145" s="37">
        <f t="shared" si="101"/>
        <v>108</v>
      </c>
      <c r="BK145" s="8">
        <f t="shared" si="91"/>
        <v>0</v>
      </c>
      <c r="BL145" s="8"/>
      <c r="BM145" s="8"/>
      <c r="BN145" s="8"/>
    </row>
    <row r="146" spans="2:66" ht="13.8" x14ac:dyDescent="0.25"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G146" s="13"/>
      <c r="AH146" s="14"/>
      <c r="AI146" s="44">
        <f t="shared" si="99"/>
        <v>109</v>
      </c>
      <c r="AJ146" s="55">
        <f t="shared" si="112"/>
        <v>5747990.0117021482</v>
      </c>
      <c r="AK146" s="59">
        <v>12</v>
      </c>
      <c r="AN146"/>
      <c r="AO146"/>
      <c r="AP146"/>
      <c r="AQ146"/>
      <c r="AR146"/>
      <c r="AS146"/>
      <c r="AT146"/>
      <c r="AU146"/>
      <c r="AV146"/>
      <c r="AW146"/>
      <c r="AX146"/>
      <c r="AY146" s="11"/>
      <c r="AZ146" s="11"/>
      <c r="BA146" s="36">
        <f t="shared" si="108"/>
        <v>109</v>
      </c>
      <c r="BB146" s="35">
        <f t="shared" si="107"/>
        <v>58498.891012984895</v>
      </c>
      <c r="BC146" s="120"/>
      <c r="BD146" s="307">
        <f t="shared" si="109"/>
        <v>109</v>
      </c>
      <c r="BE146" s="303">
        <f t="shared" si="113"/>
        <v>41268.013621794002</v>
      </c>
      <c r="BF146" s="208"/>
      <c r="BG146" s="37">
        <f t="shared" si="100"/>
        <v>109</v>
      </c>
      <c r="BH146" s="8">
        <f t="shared" si="111"/>
        <v>466.73678895021442</v>
      </c>
      <c r="BI146" s="8"/>
      <c r="BJ146" s="37">
        <f t="shared" si="101"/>
        <v>109</v>
      </c>
      <c r="BK146" s="8">
        <f t="shared" si="91"/>
        <v>0</v>
      </c>
      <c r="BL146" s="8"/>
      <c r="BN146" s="8"/>
    </row>
    <row r="147" spans="2:66" ht="13.8" x14ac:dyDescent="0.25"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6"/>
      <c r="AD147" s="136"/>
      <c r="AE147" s="136"/>
      <c r="AF147" s="136"/>
      <c r="AG147" s="13"/>
      <c r="AH147" s="14"/>
      <c r="AI147" s="44">
        <f t="shared" si="99"/>
        <v>110</v>
      </c>
      <c r="AJ147" s="55">
        <f>((AJ146)+(AJ146*$E$29))</f>
        <v>5977909.6121702343</v>
      </c>
      <c r="AK147" s="59">
        <v>1</v>
      </c>
      <c r="AN147"/>
      <c r="AO147"/>
      <c r="AP147"/>
      <c r="AQ147"/>
      <c r="AR147"/>
      <c r="AS147"/>
      <c r="AT147"/>
      <c r="AU147"/>
      <c r="AV147"/>
      <c r="AW147"/>
      <c r="AX147"/>
      <c r="AY147" s="11"/>
      <c r="AZ147" s="11"/>
      <c r="BA147" s="36">
        <f t="shared" si="108"/>
        <v>110</v>
      </c>
      <c r="BB147" s="35">
        <f t="shared" ref="BB147:BB153" si="114">SUM(VLOOKUP(BA147,$AI$39:$AJ$158,2,0)/$B$10*$K$30,VLOOKUP(BA147,$AI$39:$AJ$158,2,0)*($G$15*(100%-$BB$31+$BB$29))*1.16,VLOOKUP(BA147,$AI$39:$AJ$158,2,0)*$I$15,VLOOKUP(BA147,$AI$39:$AJ$158,2,0)*$J$15)</f>
        <v>60838.846653504297</v>
      </c>
      <c r="BC147" s="120"/>
      <c r="BD147" s="307">
        <f t="shared" si="109"/>
        <v>110</v>
      </c>
      <c r="BE147" s="303">
        <f t="shared" si="113"/>
        <v>42918.734166665759</v>
      </c>
      <c r="BF147" s="208"/>
      <c r="BG147" s="37">
        <f t="shared" si="100"/>
        <v>110</v>
      </c>
      <c r="BH147" s="8">
        <f t="shared" si="111"/>
        <v>485.40626050822294</v>
      </c>
      <c r="BI147" s="8"/>
      <c r="BJ147" s="37">
        <f t="shared" si="101"/>
        <v>110</v>
      </c>
      <c r="BK147" s="8">
        <f t="shared" si="91"/>
        <v>0</v>
      </c>
      <c r="BL147" s="8"/>
      <c r="BN147" s="8"/>
    </row>
    <row r="148" spans="2:66" ht="13.8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G148" s="13"/>
      <c r="AH148" s="14"/>
      <c r="AI148" s="44">
        <f t="shared" si="99"/>
        <v>111</v>
      </c>
      <c r="AJ148" s="55">
        <f>AJ147</f>
        <v>5977909.6121702343</v>
      </c>
      <c r="AK148" s="59">
        <v>2</v>
      </c>
      <c r="AN148"/>
      <c r="AO148"/>
      <c r="AP148"/>
      <c r="AQ148"/>
      <c r="AR148"/>
      <c r="AS148"/>
      <c r="AT148"/>
      <c r="AU148"/>
      <c r="AV148"/>
      <c r="AW148"/>
      <c r="AX148"/>
      <c r="AY148" s="11"/>
      <c r="AZ148" s="11"/>
      <c r="BA148" s="36">
        <f t="shared" si="108"/>
        <v>111</v>
      </c>
      <c r="BB148" s="35">
        <f t="shared" si="114"/>
        <v>60838.846653504297</v>
      </c>
      <c r="BC148" s="120"/>
      <c r="BD148" s="307">
        <f t="shared" si="109"/>
        <v>111</v>
      </c>
      <c r="BE148" s="303">
        <f t="shared" si="113"/>
        <v>42918.734166665759</v>
      </c>
      <c r="BF148" s="208"/>
      <c r="BG148" s="37">
        <f t="shared" si="100"/>
        <v>111</v>
      </c>
      <c r="BH148" s="8">
        <f t="shared" si="111"/>
        <v>485.40626050822294</v>
      </c>
      <c r="BI148" s="8"/>
      <c r="BJ148" s="37">
        <f t="shared" si="101"/>
        <v>111</v>
      </c>
      <c r="BK148" s="8">
        <f t="shared" si="91"/>
        <v>0</v>
      </c>
      <c r="BL148" s="8"/>
      <c r="BN148" s="8"/>
    </row>
    <row r="149" spans="2:66" ht="13.8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G149" s="13"/>
      <c r="AH149" s="14"/>
      <c r="AI149" s="44">
        <f t="shared" si="99"/>
        <v>112</v>
      </c>
      <c r="AJ149" s="55">
        <f t="shared" ref="AJ149:AJ153" si="115">AJ148</f>
        <v>5977909.6121702343</v>
      </c>
      <c r="AK149" s="59">
        <v>3</v>
      </c>
      <c r="AN149"/>
      <c r="AO149"/>
      <c r="AP149"/>
      <c r="AQ149"/>
      <c r="AR149"/>
      <c r="AS149"/>
      <c r="AT149"/>
      <c r="AU149"/>
      <c r="AV149"/>
      <c r="AW149"/>
      <c r="AX149"/>
      <c r="AY149" s="11"/>
      <c r="AZ149" s="11"/>
      <c r="BA149" s="36">
        <f t="shared" si="108"/>
        <v>112</v>
      </c>
      <c r="BB149" s="35">
        <f t="shared" si="114"/>
        <v>60838.846653504297</v>
      </c>
      <c r="BC149" s="120"/>
      <c r="BD149" s="307">
        <f t="shared" si="109"/>
        <v>112</v>
      </c>
      <c r="BE149" s="303">
        <f t="shared" si="113"/>
        <v>42918.734166665759</v>
      </c>
      <c r="BF149" s="208"/>
      <c r="BG149" s="37">
        <f t="shared" si="100"/>
        <v>112</v>
      </c>
      <c r="BH149" s="8">
        <f t="shared" si="111"/>
        <v>485.40626050822294</v>
      </c>
      <c r="BI149" s="8"/>
      <c r="BJ149" s="37">
        <f t="shared" si="101"/>
        <v>112</v>
      </c>
      <c r="BK149" s="8">
        <f t="shared" si="91"/>
        <v>0</v>
      </c>
      <c r="BL149" s="8"/>
      <c r="BN149" s="8"/>
    </row>
    <row r="150" spans="2:66" ht="13.8" x14ac:dyDescent="0.25"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G150" s="13"/>
      <c r="AH150" s="14"/>
      <c r="AI150" s="44">
        <f t="shared" si="99"/>
        <v>113</v>
      </c>
      <c r="AJ150" s="55">
        <f t="shared" si="115"/>
        <v>5977909.6121702343</v>
      </c>
      <c r="AK150" s="59">
        <v>4</v>
      </c>
      <c r="AN150"/>
      <c r="AO150"/>
      <c r="AP150"/>
      <c r="AQ150"/>
      <c r="AR150"/>
      <c r="AS150"/>
      <c r="AT150"/>
      <c r="AU150"/>
      <c r="AV150"/>
      <c r="AW150"/>
      <c r="AX150"/>
      <c r="AY150" s="11"/>
      <c r="AZ150" s="11"/>
      <c r="BA150" s="36">
        <f t="shared" si="108"/>
        <v>113</v>
      </c>
      <c r="BB150" s="35">
        <f t="shared" si="114"/>
        <v>60838.846653504297</v>
      </c>
      <c r="BC150" s="120"/>
      <c r="BD150" s="307">
        <f t="shared" si="109"/>
        <v>113</v>
      </c>
      <c r="BE150" s="303">
        <f t="shared" si="113"/>
        <v>42918.734166665759</v>
      </c>
      <c r="BF150" s="208"/>
      <c r="BG150" s="37">
        <f t="shared" si="100"/>
        <v>113</v>
      </c>
      <c r="BH150" s="8">
        <f t="shared" si="111"/>
        <v>485.40626050822294</v>
      </c>
      <c r="BI150" s="8"/>
      <c r="BJ150" s="37">
        <f t="shared" si="101"/>
        <v>113</v>
      </c>
      <c r="BK150" s="8">
        <f t="shared" si="91"/>
        <v>0</v>
      </c>
      <c r="BL150" s="8"/>
      <c r="BN150" s="8"/>
    </row>
    <row r="151" spans="2:66" ht="13.8" x14ac:dyDescent="0.25"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G151" s="13"/>
      <c r="AH151" s="14"/>
      <c r="AI151" s="44">
        <f t="shared" si="99"/>
        <v>114</v>
      </c>
      <c r="AJ151" s="55">
        <f t="shared" si="115"/>
        <v>5977909.6121702343</v>
      </c>
      <c r="AK151" s="59">
        <v>5</v>
      </c>
      <c r="AN151"/>
      <c r="AO151"/>
      <c r="AP151"/>
      <c r="AQ151"/>
      <c r="AR151"/>
      <c r="AS151"/>
      <c r="AT151"/>
      <c r="AU151"/>
      <c r="AV151"/>
      <c r="AW151"/>
      <c r="AX151"/>
      <c r="AY151" s="11"/>
      <c r="AZ151" s="11"/>
      <c r="BA151" s="36">
        <f t="shared" si="108"/>
        <v>114</v>
      </c>
      <c r="BB151" s="35">
        <f t="shared" si="114"/>
        <v>60838.846653504297</v>
      </c>
      <c r="BC151" s="120"/>
      <c r="BD151" s="307">
        <f t="shared" si="109"/>
        <v>114</v>
      </c>
      <c r="BE151" s="303">
        <f t="shared" si="113"/>
        <v>42918.734166665759</v>
      </c>
      <c r="BF151" s="208"/>
      <c r="BG151" s="37">
        <f t="shared" si="100"/>
        <v>114</v>
      </c>
      <c r="BH151" s="8">
        <f t="shared" si="111"/>
        <v>485.40626050822294</v>
      </c>
      <c r="BI151" s="8"/>
      <c r="BJ151" s="37">
        <f t="shared" si="101"/>
        <v>114</v>
      </c>
      <c r="BK151" s="8">
        <f t="shared" si="91"/>
        <v>0</v>
      </c>
      <c r="BL151" s="8"/>
      <c r="BN151" s="8"/>
    </row>
    <row r="152" spans="2:66" ht="13.8" x14ac:dyDescent="0.25"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G152" s="13"/>
      <c r="AH152" s="14"/>
      <c r="AI152" s="44">
        <f t="shared" si="99"/>
        <v>115</v>
      </c>
      <c r="AJ152" s="55">
        <f t="shared" si="115"/>
        <v>5977909.6121702343</v>
      </c>
      <c r="AK152" s="59">
        <v>6</v>
      </c>
      <c r="AN152"/>
      <c r="AO152"/>
      <c r="AP152"/>
      <c r="AQ152"/>
      <c r="AR152"/>
      <c r="AS152"/>
      <c r="AT152"/>
      <c r="AU152"/>
      <c r="AV152"/>
      <c r="AW152"/>
      <c r="AX152"/>
      <c r="AY152" s="11"/>
      <c r="AZ152" s="11"/>
      <c r="BA152" s="36">
        <f t="shared" si="108"/>
        <v>115</v>
      </c>
      <c r="BB152" s="35">
        <f t="shared" si="114"/>
        <v>60838.846653504297</v>
      </c>
      <c r="BC152" s="120"/>
      <c r="BD152" s="307">
        <f t="shared" si="109"/>
        <v>115</v>
      </c>
      <c r="BE152" s="303">
        <f t="shared" si="113"/>
        <v>42918.734166665759</v>
      </c>
      <c r="BF152" s="208"/>
      <c r="BG152" s="37">
        <f t="shared" si="100"/>
        <v>115</v>
      </c>
      <c r="BH152" s="8">
        <f t="shared" si="111"/>
        <v>485.40626050822294</v>
      </c>
      <c r="BI152" s="8"/>
      <c r="BJ152" s="37">
        <f t="shared" si="101"/>
        <v>115</v>
      </c>
      <c r="BK152" s="8">
        <f t="shared" si="91"/>
        <v>0</v>
      </c>
      <c r="BL152" s="8"/>
      <c r="BN152" s="8"/>
    </row>
    <row r="153" spans="2:66" ht="13.8" x14ac:dyDescent="0.25"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G153" s="13"/>
      <c r="AH153" s="14"/>
      <c r="AI153" s="44">
        <f t="shared" si="99"/>
        <v>116</v>
      </c>
      <c r="AJ153" s="55">
        <f t="shared" si="115"/>
        <v>5977909.6121702343</v>
      </c>
      <c r="AK153" s="59">
        <v>7</v>
      </c>
      <c r="AN153"/>
      <c r="AO153"/>
      <c r="AP153"/>
      <c r="AQ153"/>
      <c r="AR153"/>
      <c r="AS153"/>
      <c r="AT153"/>
      <c r="AU153"/>
      <c r="AV153"/>
      <c r="AW153"/>
      <c r="AX153"/>
      <c r="AY153" s="11"/>
      <c r="AZ153" s="11"/>
      <c r="BA153" s="36">
        <f t="shared" si="108"/>
        <v>116</v>
      </c>
      <c r="BB153" s="35">
        <f t="shared" si="114"/>
        <v>60838.846653504297</v>
      </c>
      <c r="BC153" s="120"/>
      <c r="BD153" s="307">
        <f t="shared" si="109"/>
        <v>116</v>
      </c>
      <c r="BE153" s="303">
        <f t="shared" si="113"/>
        <v>42918.734166665759</v>
      </c>
      <c r="BF153" s="208"/>
      <c r="BG153" s="37">
        <f t="shared" si="100"/>
        <v>116</v>
      </c>
      <c r="BH153" s="8">
        <f t="shared" si="111"/>
        <v>485.40626050822294</v>
      </c>
      <c r="BI153" s="8"/>
      <c r="BJ153" s="37">
        <f t="shared" si="101"/>
        <v>116</v>
      </c>
      <c r="BK153" s="8">
        <f t="shared" si="91"/>
        <v>0</v>
      </c>
      <c r="BL153" s="8"/>
      <c r="BN153" s="8"/>
    </row>
    <row r="154" spans="2:66" ht="13.8" x14ac:dyDescent="0.25"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G154" s="13"/>
      <c r="AH154" s="14"/>
      <c r="AI154" s="44"/>
      <c r="AJ154" s="55"/>
      <c r="AK154" s="59">
        <v>8</v>
      </c>
      <c r="AN154"/>
      <c r="AO154"/>
      <c r="AP154"/>
      <c r="AQ154"/>
      <c r="AR154"/>
      <c r="AS154"/>
      <c r="AT154"/>
      <c r="AU154"/>
      <c r="AV154"/>
      <c r="AW154"/>
      <c r="AX154"/>
      <c r="AY154" s="11"/>
      <c r="AZ154" s="11"/>
      <c r="BA154" s="36"/>
      <c r="BB154" s="35"/>
      <c r="BC154" s="120"/>
      <c r="BD154" s="307"/>
      <c r="BE154" s="303"/>
      <c r="BF154" s="208"/>
      <c r="BG154" s="37"/>
      <c r="BH154" s="8"/>
      <c r="BI154" s="8"/>
      <c r="BJ154" s="37"/>
      <c r="BK154" s="8"/>
      <c r="BL154" s="8"/>
      <c r="BN154" s="8"/>
    </row>
    <row r="155" spans="2:66" ht="13.8" x14ac:dyDescent="0.25"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G155" s="13"/>
      <c r="AH155" s="14"/>
      <c r="AI155" s="44"/>
      <c r="AJ155" s="55"/>
      <c r="AK155" s="59">
        <v>9</v>
      </c>
      <c r="AN155"/>
      <c r="AO155"/>
      <c r="AP155"/>
      <c r="AQ155"/>
      <c r="AR155"/>
      <c r="AS155"/>
      <c r="AT155"/>
      <c r="AU155"/>
      <c r="AV155"/>
      <c r="AW155"/>
      <c r="AX155"/>
      <c r="AY155" s="11"/>
      <c r="AZ155" s="11"/>
      <c r="BA155" s="36"/>
      <c r="BB155" s="35"/>
      <c r="BC155" s="120"/>
      <c r="BD155" s="307"/>
      <c r="BE155" s="303"/>
      <c r="BF155" s="208"/>
      <c r="BG155" s="37"/>
      <c r="BH155" s="8"/>
      <c r="BI155" s="8"/>
      <c r="BJ155" s="37"/>
      <c r="BK155" s="8"/>
      <c r="BL155" s="8"/>
      <c r="BN155" s="8"/>
    </row>
    <row r="156" spans="2:66" ht="13.8" x14ac:dyDescent="0.25"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G156" s="13"/>
      <c r="AH156" s="14"/>
      <c r="AI156" s="44"/>
      <c r="AJ156" s="55"/>
      <c r="AK156" s="59">
        <v>10</v>
      </c>
      <c r="AN156"/>
      <c r="AO156"/>
      <c r="AP156"/>
      <c r="AQ156"/>
      <c r="AR156"/>
      <c r="AS156"/>
      <c r="AT156"/>
      <c r="AU156"/>
      <c r="AV156"/>
      <c r="AW156"/>
      <c r="AX156"/>
      <c r="AY156" s="11"/>
      <c r="AZ156" s="11"/>
      <c r="BA156" s="36"/>
      <c r="BB156" s="35"/>
      <c r="BC156" s="120"/>
      <c r="BD156" s="307"/>
      <c r="BE156" s="303"/>
      <c r="BF156" s="208"/>
      <c r="BG156" s="37"/>
      <c r="BH156" s="8"/>
      <c r="BI156" s="8"/>
      <c r="BJ156" s="37"/>
      <c r="BK156" s="8"/>
      <c r="BL156" s="8"/>
      <c r="BN156" s="8"/>
    </row>
    <row r="157" spans="2:66" ht="13.8" x14ac:dyDescent="0.25"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G157" s="13"/>
      <c r="AH157" s="14"/>
      <c r="AI157" s="44"/>
      <c r="AJ157" s="55"/>
      <c r="AK157" s="59">
        <v>11</v>
      </c>
      <c r="AN157"/>
      <c r="AO157"/>
      <c r="AP157"/>
      <c r="AQ157"/>
      <c r="AR157"/>
      <c r="AS157"/>
      <c r="AT157"/>
      <c r="AU157"/>
      <c r="AV157"/>
      <c r="AW157"/>
      <c r="AX157"/>
      <c r="AY157" s="11"/>
      <c r="AZ157" s="11"/>
      <c r="BA157" s="36"/>
      <c r="BB157" s="35"/>
      <c r="BC157" s="120"/>
      <c r="BD157" s="307"/>
      <c r="BE157" s="303"/>
      <c r="BF157" s="208"/>
      <c r="BG157" s="37"/>
      <c r="BH157" s="8"/>
      <c r="BI157" s="8"/>
      <c r="BJ157" s="37"/>
      <c r="BK157" s="8"/>
      <c r="BL157" s="8"/>
      <c r="BN157" s="8"/>
    </row>
    <row r="158" spans="2:66" ht="13.8" x14ac:dyDescent="0.25"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G158" s="13"/>
      <c r="AH158" s="14"/>
      <c r="AI158" s="44"/>
      <c r="AJ158" s="55"/>
      <c r="AK158" s="59">
        <v>12</v>
      </c>
      <c r="AN158"/>
      <c r="AO158"/>
      <c r="AP158"/>
      <c r="AQ158"/>
      <c r="AR158"/>
      <c r="AS158"/>
      <c r="AT158"/>
      <c r="AU158"/>
      <c r="AV158"/>
      <c r="AW158"/>
      <c r="AX158"/>
      <c r="AY158" s="11"/>
      <c r="AZ158" s="11"/>
      <c r="BA158" s="36"/>
      <c r="BB158" s="35"/>
      <c r="BC158" s="120"/>
      <c r="BD158" s="307"/>
      <c r="BE158" s="303"/>
      <c r="BF158" s="208"/>
      <c r="BG158" s="37"/>
      <c r="BH158" s="8"/>
      <c r="BI158" s="8"/>
      <c r="BJ158" s="37"/>
      <c r="BK158" s="8"/>
      <c r="BL158" s="8"/>
      <c r="BN158" s="8"/>
    </row>
    <row r="159" spans="2:66" ht="13.8" x14ac:dyDescent="0.25"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G159" s="13"/>
      <c r="AH159" s="14"/>
      <c r="AI159" s="13"/>
      <c r="AJ159" s="14"/>
      <c r="AK159"/>
      <c r="AN159"/>
      <c r="AO159"/>
      <c r="AP159"/>
      <c r="AQ159"/>
      <c r="AR159"/>
      <c r="AS159"/>
      <c r="AT159"/>
      <c r="AU159"/>
      <c r="AV159"/>
      <c r="AW159"/>
      <c r="AX159"/>
      <c r="AY159" s="11"/>
      <c r="AZ159" s="11"/>
      <c r="BA159" s="36"/>
      <c r="BB159" s="35"/>
      <c r="BD159" s="307"/>
      <c r="BE159" s="303"/>
      <c r="BG159" s="13"/>
      <c r="BJ159" s="13"/>
      <c r="BN159" s="8"/>
    </row>
    <row r="160" spans="2:66" ht="13.8" x14ac:dyDescent="0.25"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G160" s="13"/>
      <c r="AH160" s="14"/>
      <c r="AI160" s="13"/>
      <c r="AJ160" s="14"/>
      <c r="AN160"/>
      <c r="AO160"/>
      <c r="AP160"/>
      <c r="AQ160"/>
      <c r="AR160"/>
      <c r="AS160"/>
      <c r="AT160"/>
      <c r="AU160"/>
      <c r="AV160"/>
      <c r="AW160"/>
      <c r="AX160"/>
      <c r="AY160" s="11"/>
      <c r="AZ160" s="11"/>
      <c r="BA160"/>
      <c r="BB160"/>
      <c r="BD160"/>
      <c r="BE160"/>
      <c r="BG160"/>
      <c r="BJ160"/>
      <c r="BN160" s="8"/>
    </row>
    <row r="161" spans="2:62" ht="13.8" hidden="1" x14ac:dyDescent="0.25"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G161" s="13"/>
      <c r="AH161" s="14"/>
      <c r="AI161" s="13"/>
      <c r="AJ161" s="14"/>
      <c r="AN161"/>
      <c r="AO161"/>
      <c r="AP161"/>
      <c r="AQ161"/>
      <c r="AR161"/>
      <c r="AS161"/>
      <c r="AT161"/>
      <c r="AU161"/>
      <c r="AV161"/>
      <c r="AW161"/>
      <c r="AX161"/>
      <c r="AY161" s="11"/>
      <c r="AZ161" s="11"/>
      <c r="BA161"/>
      <c r="BB161"/>
      <c r="BD161"/>
      <c r="BE161"/>
      <c r="BG161"/>
      <c r="BJ161"/>
    </row>
    <row r="162" spans="2:62" ht="13.8" hidden="1" x14ac:dyDescent="0.25"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G162" s="13"/>
      <c r="AH162" s="14"/>
      <c r="AI162" s="13"/>
      <c r="AJ162" s="14"/>
      <c r="AN162"/>
      <c r="AO162"/>
      <c r="AP162"/>
      <c r="AQ162"/>
      <c r="AR162"/>
      <c r="AS162"/>
      <c r="AT162"/>
      <c r="AU162"/>
      <c r="AV162"/>
      <c r="AW162"/>
      <c r="AX162"/>
      <c r="AY162" s="11"/>
      <c r="AZ162" s="11"/>
      <c r="BA162"/>
      <c r="BB162"/>
      <c r="BD162"/>
      <c r="BE162"/>
      <c r="BG162"/>
      <c r="BJ162"/>
    </row>
    <row r="163" spans="2:62" ht="13.8" hidden="1" x14ac:dyDescent="0.25"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G163" s="13"/>
      <c r="AH163" s="14"/>
      <c r="AI163" s="13"/>
      <c r="AJ163" s="14"/>
      <c r="AN163"/>
      <c r="AO163"/>
      <c r="AP163"/>
      <c r="AQ163"/>
      <c r="AR163"/>
      <c r="AS163"/>
      <c r="AT163"/>
      <c r="AU163"/>
      <c r="AV163"/>
      <c r="AW163"/>
      <c r="AX163"/>
      <c r="AY163" s="11"/>
      <c r="AZ163" s="11"/>
      <c r="BA163"/>
      <c r="BB163"/>
      <c r="BD163"/>
      <c r="BE163"/>
      <c r="BG163"/>
      <c r="BJ163"/>
    </row>
    <row r="164" spans="2:62" ht="13.8" hidden="1" x14ac:dyDescent="0.25">
      <c r="AG164" s="13"/>
      <c r="AH164" s="14"/>
      <c r="AI164" s="13"/>
      <c r="AJ164" s="14"/>
      <c r="AN164"/>
      <c r="AO164"/>
      <c r="AP164"/>
      <c r="AQ164"/>
      <c r="AR164"/>
      <c r="AS164"/>
      <c r="AT164"/>
      <c r="AU164"/>
      <c r="AV164"/>
      <c r="AW164"/>
      <c r="AX164"/>
      <c r="AY164" s="11"/>
      <c r="AZ164" s="11"/>
      <c r="BA164"/>
      <c r="BB164"/>
      <c r="BD164"/>
      <c r="BE164"/>
      <c r="BG164"/>
      <c r="BJ164"/>
    </row>
    <row r="165" spans="2:62" ht="13.8" hidden="1" x14ac:dyDescent="0.25">
      <c r="AG165" s="13"/>
      <c r="AH165" s="14"/>
      <c r="AI165" s="13"/>
      <c r="AJ165" s="14"/>
      <c r="AN165"/>
      <c r="AO165"/>
      <c r="AP165"/>
      <c r="AQ165"/>
      <c r="AR165"/>
      <c r="AS165"/>
      <c r="AT165"/>
      <c r="AU165"/>
      <c r="AV165"/>
      <c r="AW165"/>
      <c r="AX165"/>
      <c r="AY165" s="11"/>
      <c r="AZ165" s="11"/>
      <c r="BA165"/>
      <c r="BB165"/>
      <c r="BD165"/>
      <c r="BE165"/>
      <c r="BG165"/>
      <c r="BJ165"/>
    </row>
    <row r="166" spans="2:62" ht="13.8" hidden="1" x14ac:dyDescent="0.25">
      <c r="AG166" s="13"/>
      <c r="AH166" s="14"/>
      <c r="AI166" s="13"/>
      <c r="AJ166" s="14"/>
      <c r="AN166"/>
      <c r="AO166"/>
      <c r="AP166"/>
      <c r="AQ166"/>
      <c r="AR166"/>
      <c r="AS166"/>
      <c r="AT166"/>
      <c r="AU166"/>
      <c r="AV166"/>
      <c r="AW166"/>
      <c r="AX166"/>
      <c r="AY166" s="11"/>
      <c r="AZ166" s="11"/>
      <c r="BA166"/>
      <c r="BB166"/>
      <c r="BD166"/>
      <c r="BE166"/>
      <c r="BG166"/>
      <c r="BJ166"/>
    </row>
    <row r="167" spans="2:62" ht="13.8" hidden="1" x14ac:dyDescent="0.25">
      <c r="AG167" s="13"/>
      <c r="AH167" s="14"/>
      <c r="AI167" s="13"/>
      <c r="AJ167" s="14"/>
      <c r="AN167"/>
      <c r="AO167"/>
      <c r="AP167"/>
      <c r="AQ167"/>
      <c r="AR167"/>
      <c r="AS167"/>
      <c r="AT167"/>
      <c r="AU167"/>
      <c r="AV167"/>
      <c r="AW167"/>
      <c r="AX167"/>
      <c r="AY167" s="11"/>
      <c r="AZ167" s="11"/>
      <c r="BA167"/>
      <c r="BB167"/>
      <c r="BD167"/>
      <c r="BE167"/>
      <c r="BG167"/>
      <c r="BJ167"/>
    </row>
    <row r="168" spans="2:62" ht="13.8" hidden="1" x14ac:dyDescent="0.25">
      <c r="AG168" s="13"/>
      <c r="AH168" s="14"/>
      <c r="AI168" s="13"/>
      <c r="AJ168" s="14"/>
      <c r="AN168"/>
      <c r="AO168"/>
      <c r="AP168"/>
      <c r="AQ168"/>
      <c r="AR168"/>
      <c r="AS168"/>
      <c r="AT168"/>
      <c r="AU168"/>
      <c r="AV168"/>
      <c r="AW168"/>
      <c r="AX168"/>
      <c r="AY168" s="11"/>
      <c r="AZ168" s="11"/>
      <c r="BA168"/>
      <c r="BB168"/>
      <c r="BD168"/>
      <c r="BE168"/>
      <c r="BG168"/>
      <c r="BJ168"/>
    </row>
    <row r="169" spans="2:62" ht="13.8" hidden="1" x14ac:dyDescent="0.25">
      <c r="AG169" s="13"/>
      <c r="AH169" s="14"/>
      <c r="AI169" s="13"/>
      <c r="AJ169" s="14"/>
      <c r="AN169"/>
      <c r="AO169"/>
      <c r="AP169"/>
      <c r="AQ169"/>
      <c r="AR169"/>
      <c r="AS169"/>
      <c r="AT169"/>
      <c r="AU169"/>
      <c r="AV169"/>
      <c r="AW169"/>
      <c r="AX169"/>
      <c r="AY169" s="11"/>
      <c r="AZ169" s="11"/>
      <c r="BA169"/>
      <c r="BB169"/>
      <c r="BD169"/>
      <c r="BE169"/>
      <c r="BG169"/>
      <c r="BJ169"/>
    </row>
    <row r="170" spans="2:62" ht="13.8" hidden="1" x14ac:dyDescent="0.25">
      <c r="AG170" s="13"/>
      <c r="AH170" s="14"/>
      <c r="AI170" s="13"/>
      <c r="AJ170" s="14"/>
      <c r="AN170"/>
      <c r="AO170"/>
      <c r="AP170"/>
      <c r="AQ170"/>
      <c r="AR170"/>
      <c r="AS170"/>
      <c r="AT170"/>
      <c r="AU170"/>
      <c r="AV170"/>
      <c r="AW170"/>
      <c r="AX170"/>
      <c r="AY170" s="11"/>
      <c r="AZ170" s="11"/>
      <c r="BA170"/>
      <c r="BB170"/>
      <c r="BD170"/>
      <c r="BE170"/>
      <c r="BG170"/>
      <c r="BJ170"/>
    </row>
    <row r="171" spans="2:62" ht="13.8" hidden="1" x14ac:dyDescent="0.25">
      <c r="AG171" s="13"/>
      <c r="AH171" s="14"/>
      <c r="AI171" s="13"/>
      <c r="AJ171" s="14"/>
      <c r="AN171"/>
      <c r="AO171"/>
      <c r="AP171"/>
      <c r="AQ171"/>
      <c r="AR171"/>
      <c r="AS171"/>
      <c r="AT171"/>
      <c r="AU171"/>
      <c r="AV171"/>
      <c r="AW171"/>
      <c r="AX171"/>
      <c r="AY171" s="11"/>
      <c r="AZ171" s="11"/>
      <c r="BA171"/>
      <c r="BB171"/>
      <c r="BD171"/>
      <c r="BE171"/>
      <c r="BG171"/>
      <c r="BJ171"/>
    </row>
    <row r="172" spans="2:62" ht="13.8" hidden="1" x14ac:dyDescent="0.25">
      <c r="AG172" s="13"/>
      <c r="AH172" s="14"/>
      <c r="AI172" s="13"/>
      <c r="AJ172" s="14"/>
      <c r="AN172"/>
      <c r="AO172"/>
      <c r="AP172"/>
      <c r="AQ172"/>
      <c r="AR172"/>
      <c r="AS172"/>
      <c r="AT172"/>
      <c r="AU172"/>
      <c r="AV172"/>
      <c r="AW172"/>
      <c r="AX172"/>
      <c r="AY172" s="11"/>
      <c r="AZ172" s="11"/>
      <c r="BA172"/>
      <c r="BB172"/>
      <c r="BD172"/>
      <c r="BE172"/>
      <c r="BG172"/>
      <c r="BJ172"/>
    </row>
    <row r="173" spans="2:62" ht="13.8" hidden="1" x14ac:dyDescent="0.25">
      <c r="AG173" s="13"/>
      <c r="AH173" s="14"/>
      <c r="AI173" s="13"/>
      <c r="AJ173" s="14"/>
      <c r="AN173"/>
      <c r="AO173"/>
      <c r="AP173"/>
      <c r="AQ173"/>
      <c r="AR173"/>
      <c r="AS173"/>
      <c r="AT173"/>
      <c r="AU173"/>
      <c r="AV173"/>
      <c r="AW173"/>
      <c r="AX173"/>
      <c r="AY173" s="11"/>
      <c r="AZ173" s="11"/>
      <c r="BA173"/>
      <c r="BB173"/>
      <c r="BD173"/>
      <c r="BE173"/>
      <c r="BG173"/>
      <c r="BJ173"/>
    </row>
    <row r="174" spans="2:62" ht="13.8" hidden="1" x14ac:dyDescent="0.25">
      <c r="AG174" s="13"/>
      <c r="AH174" s="14"/>
      <c r="AI174" s="13"/>
      <c r="AJ174" s="14"/>
      <c r="AN174"/>
      <c r="AO174"/>
      <c r="AP174"/>
      <c r="AQ174"/>
      <c r="AR174"/>
      <c r="AS174"/>
      <c r="AT174"/>
      <c r="AU174"/>
      <c r="AV174"/>
      <c r="AW174"/>
      <c r="AX174"/>
      <c r="AY174" s="11"/>
      <c r="AZ174" s="11"/>
      <c r="BA174"/>
      <c r="BB174"/>
      <c r="BD174"/>
      <c r="BE174"/>
      <c r="BG174"/>
      <c r="BJ174"/>
    </row>
    <row r="175" spans="2:62" ht="13.8" hidden="1" x14ac:dyDescent="0.25">
      <c r="AG175" s="13"/>
      <c r="AH175" s="14"/>
      <c r="AI175" s="13"/>
      <c r="AJ175" s="14"/>
      <c r="AN175"/>
      <c r="AO175"/>
      <c r="AP175"/>
      <c r="AQ175"/>
      <c r="AR175"/>
      <c r="AS175"/>
      <c r="AT175"/>
      <c r="AU175"/>
      <c r="AV175"/>
      <c r="AW175"/>
      <c r="AX175"/>
      <c r="AY175" s="11"/>
      <c r="AZ175" s="11"/>
      <c r="BA175"/>
      <c r="BB175"/>
      <c r="BD175"/>
      <c r="BE175"/>
      <c r="BG175"/>
      <c r="BJ175"/>
    </row>
    <row r="176" spans="2:62" ht="13.8" hidden="1" x14ac:dyDescent="0.25">
      <c r="AG176" s="13"/>
      <c r="AH176" s="14"/>
      <c r="AI176" s="13"/>
      <c r="AJ176" s="14"/>
      <c r="AN176"/>
      <c r="AO176"/>
      <c r="AP176"/>
      <c r="AQ176"/>
      <c r="AR176"/>
      <c r="AS176"/>
      <c r="AT176"/>
      <c r="AU176"/>
      <c r="AV176"/>
      <c r="AW176"/>
      <c r="AX176"/>
      <c r="AY176" s="11"/>
      <c r="AZ176" s="11"/>
      <c r="BA176"/>
      <c r="BB176"/>
      <c r="BD176"/>
      <c r="BE176"/>
      <c r="BG176"/>
      <c r="BJ176"/>
    </row>
    <row r="177" spans="33:62" ht="13.8" hidden="1" x14ac:dyDescent="0.25">
      <c r="AG177" s="13"/>
      <c r="AH177" s="14"/>
      <c r="AI177" s="13"/>
      <c r="AJ177" s="14"/>
      <c r="AN177"/>
      <c r="AO177"/>
      <c r="AP177"/>
      <c r="AQ177"/>
      <c r="AR177"/>
      <c r="AS177"/>
      <c r="AT177"/>
      <c r="AU177"/>
      <c r="AV177"/>
      <c r="AW177"/>
      <c r="AX177"/>
      <c r="AY177" s="11"/>
      <c r="AZ177" s="11"/>
      <c r="BA177"/>
      <c r="BB177"/>
      <c r="BD177"/>
      <c r="BE177"/>
      <c r="BG177"/>
      <c r="BJ177"/>
    </row>
    <row r="178" spans="33:62" ht="13.8" hidden="1" x14ac:dyDescent="0.25">
      <c r="AG178" s="13"/>
      <c r="AH178" s="14"/>
      <c r="AI178" s="13"/>
      <c r="AJ178" s="14"/>
      <c r="AN178"/>
      <c r="AO178"/>
      <c r="AP178"/>
      <c r="AQ178"/>
      <c r="AR178"/>
      <c r="AS178"/>
      <c r="AT178"/>
      <c r="AU178"/>
      <c r="AV178"/>
      <c r="AW178"/>
      <c r="AX178"/>
      <c r="AY178" s="11"/>
      <c r="AZ178" s="11"/>
      <c r="BA178"/>
      <c r="BB178"/>
      <c r="BD178"/>
      <c r="BE178"/>
      <c r="BG178"/>
      <c r="BJ178"/>
    </row>
    <row r="179" spans="33:62" ht="13.8" hidden="1" x14ac:dyDescent="0.25">
      <c r="AG179" s="13"/>
      <c r="AH179" s="14"/>
      <c r="AI179" s="13"/>
      <c r="AJ179" s="14"/>
      <c r="AN179"/>
      <c r="AO179"/>
      <c r="AP179"/>
      <c r="AQ179"/>
      <c r="AR179"/>
      <c r="AS179"/>
      <c r="AT179"/>
      <c r="AU179"/>
      <c r="AV179"/>
      <c r="AW179"/>
      <c r="AX179"/>
      <c r="AY179" s="11"/>
      <c r="AZ179" s="11"/>
      <c r="BA179"/>
      <c r="BB179"/>
      <c r="BD179"/>
      <c r="BE179"/>
      <c r="BG179"/>
      <c r="BJ179"/>
    </row>
    <row r="180" spans="33:62" ht="13.8" hidden="1" x14ac:dyDescent="0.25">
      <c r="AG180" s="13"/>
      <c r="AH180" s="14"/>
      <c r="AI180" s="13"/>
      <c r="AJ180" s="14"/>
      <c r="AN180"/>
      <c r="AO180"/>
      <c r="AP180"/>
      <c r="AQ180"/>
      <c r="AR180"/>
      <c r="AS180"/>
      <c r="AT180"/>
      <c r="AU180"/>
      <c r="AV180"/>
      <c r="AW180"/>
      <c r="AX180"/>
      <c r="AY180" s="11"/>
      <c r="AZ180" s="11"/>
      <c r="BA180"/>
      <c r="BB180"/>
      <c r="BD180"/>
      <c r="BE180"/>
      <c r="BG180"/>
      <c r="BJ180"/>
    </row>
    <row r="181" spans="33:62" ht="13.8" hidden="1" x14ac:dyDescent="0.25">
      <c r="AG181" s="13"/>
      <c r="AH181" s="14"/>
      <c r="AI181" s="13"/>
      <c r="AJ181" s="14"/>
      <c r="AN181"/>
      <c r="AO181"/>
      <c r="AP181"/>
      <c r="AQ181"/>
      <c r="AR181"/>
      <c r="AS181"/>
      <c r="AT181"/>
      <c r="AU181"/>
      <c r="AV181"/>
      <c r="AW181"/>
      <c r="AX181"/>
      <c r="AY181" s="11"/>
      <c r="AZ181" s="11"/>
      <c r="BA181"/>
      <c r="BB181"/>
      <c r="BD181"/>
      <c r="BE181"/>
      <c r="BG181"/>
      <c r="BJ181"/>
    </row>
    <row r="182" spans="33:62" ht="13.8" hidden="1" x14ac:dyDescent="0.25">
      <c r="AG182" s="13"/>
      <c r="AH182" s="14"/>
      <c r="AI182" s="13"/>
      <c r="AJ182" s="14"/>
      <c r="AN182"/>
      <c r="AO182"/>
      <c r="AP182"/>
      <c r="AQ182"/>
      <c r="AR182"/>
      <c r="AS182"/>
      <c r="AT182"/>
      <c r="AU182"/>
      <c r="AV182"/>
      <c r="AW182"/>
      <c r="AX182"/>
      <c r="AY182" s="11"/>
      <c r="AZ182" s="11"/>
      <c r="BA182"/>
      <c r="BB182"/>
      <c r="BD182"/>
      <c r="BE182"/>
      <c r="BG182"/>
      <c r="BJ182"/>
    </row>
    <row r="183" spans="33:62" ht="13.8" hidden="1" x14ac:dyDescent="0.25">
      <c r="AG183" s="13"/>
      <c r="AH183" s="14"/>
      <c r="AI183" s="13"/>
      <c r="AJ183" s="14"/>
      <c r="AN183"/>
      <c r="AO183"/>
      <c r="AP183"/>
      <c r="AQ183"/>
      <c r="AR183"/>
      <c r="AS183"/>
      <c r="AT183"/>
      <c r="AU183"/>
      <c r="AV183"/>
      <c r="AW183"/>
      <c r="AX183"/>
      <c r="AY183" s="11"/>
      <c r="AZ183" s="11"/>
      <c r="BA183"/>
      <c r="BB183"/>
      <c r="BD183"/>
      <c r="BE183"/>
      <c r="BG183"/>
      <c r="BJ183"/>
    </row>
    <row r="184" spans="33:62" ht="13.8" hidden="1" x14ac:dyDescent="0.25">
      <c r="AG184" s="13"/>
      <c r="AH184" s="14"/>
      <c r="AI184" s="13"/>
      <c r="AJ184" s="14"/>
      <c r="AN184"/>
      <c r="AO184"/>
      <c r="AP184"/>
      <c r="AQ184"/>
      <c r="AR184"/>
      <c r="AS184"/>
      <c r="AT184"/>
      <c r="AU184"/>
      <c r="AV184"/>
      <c r="AW184"/>
      <c r="AX184"/>
      <c r="AY184" s="11"/>
      <c r="AZ184" s="11"/>
      <c r="BA184"/>
      <c r="BB184"/>
      <c r="BD184"/>
      <c r="BE184"/>
      <c r="BG184"/>
      <c r="BJ184"/>
    </row>
    <row r="185" spans="33:62" ht="13.8" hidden="1" x14ac:dyDescent="0.25">
      <c r="AG185" s="13"/>
      <c r="AH185" s="14"/>
      <c r="AI185" s="13"/>
      <c r="AJ185" s="14"/>
      <c r="AN185"/>
      <c r="AO185"/>
      <c r="AP185"/>
      <c r="AQ185"/>
      <c r="AR185"/>
      <c r="AS185"/>
      <c r="AT185"/>
      <c r="AU185"/>
      <c r="AV185"/>
      <c r="AW185"/>
      <c r="AX185"/>
      <c r="AY185" s="11"/>
      <c r="AZ185" s="11"/>
      <c r="BA185"/>
      <c r="BB185"/>
      <c r="BD185"/>
      <c r="BE185"/>
      <c r="BG185"/>
      <c r="BJ185"/>
    </row>
    <row r="186" spans="33:62" ht="13.8" hidden="1" x14ac:dyDescent="0.25">
      <c r="AG186" s="13"/>
      <c r="AH186" s="14"/>
      <c r="AI186" s="13"/>
      <c r="AJ186" s="14"/>
      <c r="AN186"/>
      <c r="AO186"/>
      <c r="AP186"/>
      <c r="AQ186"/>
      <c r="AR186"/>
      <c r="AS186"/>
      <c r="AT186"/>
      <c r="AU186"/>
      <c r="AV186"/>
      <c r="AW186"/>
      <c r="AX186"/>
      <c r="AY186" s="11"/>
      <c r="AZ186" s="11"/>
      <c r="BA186"/>
      <c r="BB186"/>
      <c r="BD186"/>
      <c r="BE186"/>
      <c r="BG186"/>
      <c r="BJ186"/>
    </row>
    <row r="187" spans="33:62" ht="13.8" hidden="1" x14ac:dyDescent="0.25">
      <c r="AG187" s="13"/>
      <c r="AH187" s="14"/>
      <c r="AI187" s="13"/>
      <c r="AJ187" s="14"/>
      <c r="AN187"/>
      <c r="AO187"/>
      <c r="AP187"/>
      <c r="AQ187"/>
      <c r="AR187"/>
      <c r="AS187"/>
      <c r="AT187"/>
      <c r="AU187"/>
      <c r="AV187"/>
      <c r="AW187"/>
      <c r="AX187"/>
      <c r="AY187" s="11"/>
      <c r="AZ187" s="11"/>
      <c r="BA187"/>
      <c r="BB187"/>
      <c r="BD187"/>
      <c r="BE187"/>
      <c r="BG187"/>
      <c r="BJ187"/>
    </row>
    <row r="188" spans="33:62" ht="13.8" hidden="1" x14ac:dyDescent="0.25">
      <c r="AG188" s="13"/>
      <c r="AH188" s="14"/>
      <c r="AI188" s="13"/>
      <c r="AJ188" s="14"/>
      <c r="AN188"/>
      <c r="AO188"/>
      <c r="AP188"/>
      <c r="AQ188"/>
      <c r="AR188"/>
      <c r="AS188"/>
      <c r="AT188"/>
      <c r="AU188"/>
      <c r="AV188"/>
      <c r="AW188"/>
      <c r="AX188"/>
      <c r="AY188" s="11"/>
      <c r="AZ188" s="11"/>
      <c r="BA188"/>
      <c r="BB188"/>
      <c r="BD188"/>
      <c r="BE188"/>
      <c r="BG188"/>
      <c r="BJ188"/>
    </row>
    <row r="189" spans="33:62" ht="13.8" hidden="1" x14ac:dyDescent="0.25">
      <c r="AG189" s="13"/>
      <c r="AH189" s="14"/>
      <c r="AI189" s="13"/>
      <c r="AJ189" s="14"/>
      <c r="AN189"/>
      <c r="AO189"/>
      <c r="AP189"/>
      <c r="AQ189"/>
      <c r="AR189"/>
      <c r="AS189"/>
      <c r="AT189"/>
      <c r="AU189"/>
      <c r="AV189"/>
      <c r="AW189"/>
      <c r="AX189"/>
      <c r="AY189" s="11"/>
      <c r="AZ189" s="11"/>
      <c r="BA189"/>
      <c r="BB189"/>
      <c r="BD189"/>
      <c r="BE189"/>
      <c r="BG189"/>
      <c r="BJ189"/>
    </row>
    <row r="190" spans="33:62" ht="13.8" hidden="1" x14ac:dyDescent="0.25">
      <c r="AG190" s="13"/>
      <c r="AH190" s="14"/>
      <c r="AI190" s="13"/>
      <c r="AJ190" s="14"/>
      <c r="AN190"/>
      <c r="AO190"/>
      <c r="AP190"/>
      <c r="AQ190"/>
      <c r="AR190"/>
      <c r="AS190"/>
      <c r="AT190"/>
      <c r="AU190"/>
      <c r="AV190"/>
      <c r="AW190"/>
      <c r="AX190"/>
      <c r="AY190" s="11"/>
      <c r="AZ190" s="11"/>
      <c r="BA190"/>
      <c r="BB190"/>
      <c r="BD190"/>
      <c r="BE190"/>
      <c r="BG190"/>
      <c r="BJ190"/>
    </row>
    <row r="191" spans="33:62" ht="13.8" hidden="1" x14ac:dyDescent="0.25">
      <c r="AG191" s="13"/>
      <c r="AH191" s="14"/>
      <c r="AI191" s="13"/>
      <c r="AJ191" s="14"/>
      <c r="AN191"/>
      <c r="AO191"/>
      <c r="AP191"/>
      <c r="AQ191"/>
      <c r="AR191"/>
      <c r="AS191"/>
      <c r="AT191"/>
      <c r="AU191"/>
      <c r="AV191"/>
      <c r="AW191"/>
      <c r="AX191"/>
      <c r="AY191" s="11"/>
      <c r="AZ191" s="11"/>
      <c r="BA191"/>
      <c r="BB191"/>
      <c r="BD191"/>
      <c r="BE191"/>
      <c r="BG191"/>
      <c r="BJ191"/>
    </row>
    <row r="192" spans="33:62" ht="13.8" hidden="1" x14ac:dyDescent="0.25">
      <c r="AG192" s="13"/>
      <c r="AH192" s="14"/>
      <c r="AI192" s="13"/>
      <c r="AJ192" s="14"/>
      <c r="AN192"/>
      <c r="AO192"/>
      <c r="AP192"/>
      <c r="AQ192"/>
      <c r="AR192"/>
      <c r="AS192"/>
      <c r="AT192"/>
      <c r="AU192"/>
      <c r="AV192"/>
      <c r="AW192"/>
      <c r="AX192"/>
      <c r="AY192" s="11"/>
      <c r="AZ192" s="11"/>
      <c r="BA192"/>
      <c r="BB192"/>
      <c r="BD192"/>
      <c r="BE192"/>
      <c r="BG192"/>
      <c r="BJ192"/>
    </row>
    <row r="193" spans="33:62" ht="13.8" hidden="1" x14ac:dyDescent="0.25">
      <c r="AG193" s="13"/>
      <c r="AH193" s="14"/>
      <c r="AI193" s="13"/>
      <c r="AJ193" s="14"/>
      <c r="AN193"/>
      <c r="AO193"/>
      <c r="AP193"/>
      <c r="AQ193"/>
      <c r="AR193"/>
      <c r="AS193"/>
      <c r="AT193"/>
      <c r="AU193"/>
      <c r="AV193"/>
      <c r="AW193"/>
      <c r="AX193"/>
      <c r="AY193" s="11"/>
      <c r="AZ193" s="11"/>
      <c r="BA193"/>
      <c r="BB193"/>
      <c r="BD193"/>
      <c r="BE193"/>
      <c r="BG193"/>
      <c r="BJ193"/>
    </row>
    <row r="194" spans="33:62" ht="13.8" hidden="1" x14ac:dyDescent="0.25">
      <c r="AG194" s="13"/>
      <c r="AH194" s="14"/>
      <c r="AI194" s="13"/>
      <c r="AJ194" s="14"/>
      <c r="AN194"/>
      <c r="AO194"/>
      <c r="AP194"/>
      <c r="AQ194"/>
      <c r="AR194"/>
      <c r="AS194"/>
      <c r="AT194"/>
      <c r="AU194"/>
      <c r="AV194"/>
      <c r="AW194"/>
      <c r="AX194"/>
      <c r="AY194" s="11"/>
      <c r="AZ194" s="11"/>
      <c r="BA194"/>
      <c r="BB194"/>
      <c r="BD194"/>
      <c r="BE194"/>
      <c r="BG194"/>
      <c r="BJ194"/>
    </row>
    <row r="195" spans="33:62" ht="13.8" hidden="1" x14ac:dyDescent="0.25">
      <c r="AG195" s="13"/>
      <c r="AH195" s="14"/>
      <c r="AI195" s="13"/>
      <c r="AJ195" s="14"/>
      <c r="AN195"/>
      <c r="AO195"/>
      <c r="AP195"/>
      <c r="AQ195"/>
      <c r="AR195"/>
      <c r="AS195"/>
      <c r="AT195"/>
      <c r="AU195"/>
      <c r="AV195"/>
      <c r="AW195"/>
      <c r="AX195"/>
      <c r="AY195" s="11"/>
      <c r="AZ195" s="11"/>
      <c r="BA195"/>
      <c r="BB195"/>
      <c r="BD195"/>
      <c r="BE195"/>
      <c r="BG195"/>
      <c r="BJ195"/>
    </row>
    <row r="196" spans="33:62" ht="13.8" hidden="1" x14ac:dyDescent="0.25">
      <c r="AG196" s="13"/>
      <c r="AH196" s="14"/>
      <c r="AI196" s="13"/>
      <c r="AJ196" s="14"/>
      <c r="AN196"/>
      <c r="AO196"/>
      <c r="AP196"/>
      <c r="AQ196"/>
      <c r="AR196"/>
      <c r="AS196"/>
      <c r="AT196"/>
      <c r="AU196"/>
      <c r="AV196"/>
      <c r="AW196"/>
      <c r="AX196"/>
      <c r="AY196" s="11"/>
      <c r="AZ196" s="11"/>
      <c r="BA196"/>
      <c r="BB196"/>
      <c r="BD196"/>
      <c r="BE196"/>
      <c r="BG196"/>
      <c r="BJ196"/>
    </row>
    <row r="197" spans="33:62" ht="13.8" hidden="1" x14ac:dyDescent="0.25">
      <c r="AG197" s="13"/>
      <c r="AH197" s="14"/>
      <c r="AI197" s="13"/>
      <c r="AJ197" s="14"/>
      <c r="AN197"/>
      <c r="AO197"/>
      <c r="AP197"/>
      <c r="AQ197"/>
      <c r="AR197"/>
      <c r="AS197"/>
      <c r="AT197"/>
      <c r="AU197"/>
      <c r="AV197"/>
      <c r="AW197"/>
      <c r="AX197"/>
      <c r="AY197" s="11"/>
      <c r="AZ197" s="11"/>
      <c r="BA197"/>
      <c r="BB197"/>
      <c r="BD197"/>
      <c r="BE197"/>
      <c r="BG197"/>
      <c r="BJ197"/>
    </row>
    <row r="198" spans="33:62" ht="13.8" hidden="1" x14ac:dyDescent="0.25">
      <c r="AG198" s="13"/>
      <c r="AH198" s="14"/>
      <c r="AI198" s="13"/>
      <c r="AJ198" s="14"/>
      <c r="AN198"/>
      <c r="AO198"/>
      <c r="AP198"/>
      <c r="AQ198"/>
      <c r="AR198"/>
      <c r="AS198"/>
      <c r="AT198"/>
      <c r="AU198"/>
      <c r="AV198"/>
      <c r="AW198"/>
      <c r="AX198"/>
      <c r="AY198" s="11"/>
      <c r="AZ198" s="11"/>
      <c r="BA198"/>
      <c r="BB198"/>
      <c r="BD198"/>
      <c r="BE198"/>
      <c r="BG198"/>
      <c r="BJ198"/>
    </row>
    <row r="199" spans="33:62" ht="13.8" hidden="1" x14ac:dyDescent="0.25">
      <c r="AG199" s="13"/>
      <c r="AH199" s="14"/>
      <c r="AI199" s="13"/>
      <c r="AJ199" s="14"/>
      <c r="AN199"/>
      <c r="AO199"/>
      <c r="AP199"/>
      <c r="AQ199"/>
      <c r="AR199"/>
      <c r="AS199"/>
      <c r="AT199"/>
      <c r="AU199"/>
      <c r="AV199"/>
      <c r="AW199"/>
      <c r="AX199"/>
      <c r="AY199" s="11"/>
      <c r="AZ199" s="11"/>
      <c r="BA199"/>
      <c r="BB199"/>
      <c r="BD199"/>
      <c r="BE199"/>
      <c r="BG199"/>
      <c r="BJ199"/>
    </row>
    <row r="200" spans="33:62" ht="13.8" hidden="1" x14ac:dyDescent="0.25">
      <c r="AG200" s="13"/>
      <c r="AH200" s="14"/>
      <c r="AI200" s="13"/>
      <c r="AJ200" s="14"/>
      <c r="AN200"/>
      <c r="AO200"/>
      <c r="AP200"/>
      <c r="AQ200"/>
      <c r="AR200"/>
      <c r="AS200"/>
      <c r="AT200"/>
      <c r="AU200"/>
      <c r="AV200"/>
      <c r="AW200"/>
      <c r="AX200"/>
      <c r="AY200" s="11"/>
      <c r="AZ200" s="11"/>
      <c r="BA200"/>
      <c r="BB200"/>
      <c r="BD200"/>
      <c r="BE200"/>
      <c r="BG200"/>
      <c r="BJ200"/>
    </row>
    <row r="201" spans="33:62" ht="13.8" hidden="1" x14ac:dyDescent="0.25">
      <c r="AG201" s="13"/>
      <c r="AH201" s="14"/>
      <c r="AI201" s="13"/>
      <c r="AJ201" s="14"/>
      <c r="AN201"/>
      <c r="AO201"/>
      <c r="AP201"/>
      <c r="AQ201"/>
      <c r="AR201"/>
      <c r="AS201"/>
      <c r="AT201"/>
      <c r="AU201"/>
      <c r="AV201"/>
      <c r="AW201"/>
      <c r="AX201"/>
      <c r="AY201" s="11"/>
      <c r="AZ201" s="11"/>
      <c r="BA201"/>
      <c r="BB201"/>
      <c r="BD201"/>
      <c r="BE201"/>
      <c r="BG201"/>
      <c r="BJ201"/>
    </row>
    <row r="202" spans="33:62" ht="13.8" hidden="1" x14ac:dyDescent="0.25">
      <c r="AG202" s="13"/>
      <c r="AH202" s="14"/>
      <c r="AI202" s="13"/>
      <c r="AJ202" s="14"/>
      <c r="AN202"/>
      <c r="AO202"/>
      <c r="AP202"/>
      <c r="AQ202"/>
      <c r="AR202"/>
      <c r="AS202"/>
      <c r="AT202"/>
      <c r="AU202"/>
      <c r="AV202"/>
      <c r="AW202"/>
      <c r="AX202"/>
      <c r="AY202" s="11"/>
      <c r="AZ202" s="11"/>
      <c r="BA202"/>
      <c r="BB202"/>
      <c r="BD202"/>
      <c r="BE202"/>
      <c r="BG202"/>
      <c r="BJ202"/>
    </row>
    <row r="203" spans="33:62" ht="13.8" hidden="1" x14ac:dyDescent="0.25">
      <c r="AG203" s="13"/>
      <c r="AH203" s="14"/>
      <c r="AI203" s="13"/>
      <c r="AJ203" s="14"/>
      <c r="AN203"/>
      <c r="AO203"/>
      <c r="AP203"/>
      <c r="AQ203"/>
      <c r="AR203"/>
      <c r="AS203"/>
      <c r="AT203"/>
      <c r="AU203"/>
      <c r="AV203"/>
      <c r="AW203"/>
      <c r="AX203"/>
      <c r="AY203" s="11"/>
      <c r="AZ203" s="11"/>
      <c r="BA203"/>
      <c r="BB203"/>
      <c r="BD203"/>
      <c r="BE203"/>
      <c r="BG203"/>
      <c r="BJ203"/>
    </row>
    <row r="204" spans="33:62" ht="13.8" hidden="1" x14ac:dyDescent="0.25">
      <c r="AG204" s="13"/>
      <c r="AH204" s="14"/>
      <c r="AI204" s="13"/>
      <c r="AJ204" s="14"/>
      <c r="AN204"/>
      <c r="AO204"/>
      <c r="AP204"/>
      <c r="AQ204"/>
      <c r="AR204"/>
      <c r="AS204"/>
      <c r="AT204"/>
      <c r="AU204"/>
      <c r="AV204"/>
      <c r="AW204"/>
      <c r="AX204"/>
      <c r="AY204" s="11"/>
      <c r="AZ204" s="11"/>
      <c r="BA204"/>
      <c r="BB204"/>
      <c r="BD204"/>
      <c r="BE204"/>
      <c r="BG204"/>
      <c r="BJ204"/>
    </row>
    <row r="205" spans="33:62" ht="13.8" hidden="1" x14ac:dyDescent="0.25">
      <c r="AG205" s="13"/>
      <c r="AH205" s="14"/>
      <c r="AI205" s="13"/>
      <c r="AJ205" s="14"/>
      <c r="AN205"/>
      <c r="AO205"/>
      <c r="AP205"/>
      <c r="AQ205"/>
      <c r="AR205"/>
      <c r="AS205"/>
      <c r="AT205"/>
      <c r="AU205"/>
      <c r="AV205"/>
      <c r="AW205"/>
      <c r="AX205"/>
      <c r="AY205" s="11"/>
      <c r="AZ205" s="11"/>
      <c r="BA205"/>
      <c r="BB205"/>
      <c r="BD205"/>
      <c r="BE205"/>
      <c r="BG205"/>
      <c r="BJ205"/>
    </row>
    <row r="206" spans="33:62" ht="13.8" hidden="1" x14ac:dyDescent="0.25">
      <c r="AG206" s="13"/>
      <c r="AH206" s="14"/>
      <c r="AI206" s="13"/>
      <c r="AJ206" s="14"/>
      <c r="AN206"/>
      <c r="AO206"/>
      <c r="AP206"/>
      <c r="AQ206"/>
      <c r="AR206"/>
      <c r="AS206"/>
      <c r="AT206"/>
      <c r="AU206"/>
      <c r="AV206"/>
      <c r="AW206"/>
      <c r="AX206"/>
      <c r="AY206" s="11"/>
      <c r="AZ206" s="11"/>
      <c r="BA206"/>
      <c r="BB206"/>
      <c r="BD206"/>
      <c r="BE206"/>
      <c r="BG206"/>
      <c r="BJ206"/>
    </row>
    <row r="207" spans="33:62" ht="13.8" hidden="1" x14ac:dyDescent="0.25">
      <c r="AG207" s="13"/>
      <c r="AH207" s="14"/>
      <c r="AI207" s="13"/>
      <c r="AJ207" s="14"/>
      <c r="AN207"/>
      <c r="AO207"/>
      <c r="AP207"/>
      <c r="AQ207"/>
      <c r="AR207"/>
      <c r="AS207"/>
      <c r="AT207"/>
      <c r="AU207"/>
      <c r="AV207"/>
      <c r="AW207"/>
      <c r="AX207"/>
      <c r="AY207" s="11"/>
      <c r="AZ207" s="11"/>
      <c r="BA207"/>
      <c r="BB207"/>
      <c r="BD207"/>
      <c r="BE207"/>
      <c r="BG207"/>
      <c r="BJ207"/>
    </row>
    <row r="208" spans="33:62" ht="13.8" hidden="1" x14ac:dyDescent="0.25">
      <c r="AG208" s="13"/>
      <c r="AH208" s="14"/>
      <c r="AI208" s="13"/>
      <c r="AJ208" s="14"/>
      <c r="AN208"/>
      <c r="AO208"/>
      <c r="AP208"/>
      <c r="AQ208"/>
      <c r="AR208"/>
      <c r="AS208"/>
      <c r="AT208"/>
      <c r="AU208"/>
      <c r="AV208"/>
      <c r="AW208"/>
      <c r="AX208"/>
      <c r="AY208" s="11"/>
      <c r="AZ208" s="11"/>
      <c r="BA208"/>
      <c r="BB208"/>
      <c r="BD208"/>
      <c r="BE208"/>
      <c r="BG208"/>
      <c r="BJ208"/>
    </row>
    <row r="209" spans="33:62" ht="13.8" hidden="1" x14ac:dyDescent="0.25">
      <c r="AG209" s="13"/>
      <c r="AH209" s="14"/>
      <c r="AI209" s="13"/>
      <c r="AJ209" s="14"/>
      <c r="AN209"/>
      <c r="AO209"/>
      <c r="AP209"/>
      <c r="AQ209"/>
      <c r="AR209"/>
      <c r="AS209"/>
      <c r="AT209"/>
      <c r="AU209"/>
      <c r="AV209"/>
      <c r="AW209"/>
      <c r="AX209"/>
      <c r="AY209" s="11"/>
      <c r="AZ209" s="11"/>
      <c r="BA209"/>
      <c r="BB209"/>
      <c r="BD209"/>
      <c r="BE209"/>
      <c r="BG209"/>
      <c r="BJ209"/>
    </row>
    <row r="210" spans="33:62" ht="13.8" hidden="1" x14ac:dyDescent="0.25">
      <c r="AG210" s="13"/>
      <c r="AH210" s="14"/>
      <c r="AI210" s="13"/>
      <c r="AJ210" s="14"/>
      <c r="AN210"/>
      <c r="AO210"/>
      <c r="AP210"/>
      <c r="AQ210"/>
      <c r="AR210"/>
      <c r="AS210"/>
      <c r="AT210"/>
      <c r="AU210"/>
      <c r="AV210"/>
      <c r="AW210"/>
      <c r="AX210"/>
      <c r="AY210" s="11"/>
      <c r="AZ210" s="11"/>
      <c r="BA210"/>
      <c r="BB210"/>
      <c r="BD210"/>
      <c r="BE210"/>
      <c r="BG210"/>
      <c r="BJ210"/>
    </row>
    <row r="211" spans="33:62" ht="13.8" hidden="1" x14ac:dyDescent="0.25">
      <c r="AG211" s="13"/>
      <c r="AH211" s="14"/>
      <c r="AI211" s="13"/>
      <c r="AJ211" s="14"/>
      <c r="AN211"/>
      <c r="AO211"/>
      <c r="AP211"/>
      <c r="AQ211"/>
      <c r="AR211"/>
      <c r="AS211"/>
      <c r="AT211"/>
      <c r="AU211"/>
      <c r="AV211"/>
      <c r="AW211"/>
      <c r="AX211"/>
      <c r="AY211" s="11"/>
      <c r="AZ211" s="11"/>
      <c r="BA211"/>
      <c r="BB211"/>
      <c r="BD211"/>
      <c r="BE211"/>
      <c r="BG211"/>
      <c r="BJ211"/>
    </row>
    <row r="212" spans="33:62" ht="13.8" hidden="1" x14ac:dyDescent="0.25">
      <c r="AG212" s="13"/>
      <c r="AH212" s="14"/>
      <c r="AI212" s="13"/>
      <c r="AJ212" s="14"/>
      <c r="AN212"/>
      <c r="AO212"/>
      <c r="AP212"/>
      <c r="AQ212"/>
      <c r="AR212"/>
      <c r="AS212"/>
      <c r="AT212"/>
      <c r="AU212"/>
      <c r="AV212"/>
      <c r="AW212"/>
      <c r="AX212"/>
      <c r="AY212" s="11"/>
      <c r="AZ212" s="11"/>
      <c r="BA212"/>
      <c r="BB212"/>
      <c r="BD212"/>
      <c r="BE212"/>
      <c r="BG212"/>
      <c r="BJ212"/>
    </row>
    <row r="213" spans="33:62" ht="13.8" hidden="1" x14ac:dyDescent="0.25">
      <c r="AG213" s="13"/>
      <c r="AH213" s="14"/>
      <c r="AI213" s="13"/>
      <c r="AJ213" s="14"/>
      <c r="AN213"/>
      <c r="AO213"/>
      <c r="AP213"/>
      <c r="AQ213"/>
      <c r="AR213"/>
      <c r="AS213"/>
      <c r="AT213"/>
      <c r="AU213"/>
      <c r="AV213"/>
      <c r="AW213"/>
      <c r="AX213"/>
      <c r="AY213" s="11"/>
      <c r="AZ213" s="11"/>
      <c r="BA213"/>
      <c r="BB213"/>
      <c r="BD213"/>
      <c r="BE213"/>
      <c r="BG213"/>
      <c r="BJ213"/>
    </row>
    <row r="214" spans="33:62" ht="13.8" hidden="1" x14ac:dyDescent="0.25">
      <c r="AG214" s="13"/>
      <c r="AH214" s="14"/>
      <c r="AI214" s="13"/>
      <c r="AJ214" s="14"/>
      <c r="AN214"/>
      <c r="AO214"/>
      <c r="AP214"/>
      <c r="AQ214"/>
      <c r="AR214"/>
      <c r="AS214"/>
      <c r="AT214"/>
      <c r="AU214"/>
      <c r="AV214"/>
      <c r="AW214"/>
      <c r="AX214"/>
      <c r="AY214" s="11"/>
      <c r="AZ214" s="11"/>
      <c r="BA214"/>
      <c r="BB214"/>
      <c r="BD214"/>
      <c r="BE214"/>
      <c r="BG214"/>
      <c r="BJ214"/>
    </row>
    <row r="215" spans="33:62" ht="13.8" hidden="1" x14ac:dyDescent="0.25">
      <c r="AG215" s="13"/>
      <c r="AH215" s="14"/>
      <c r="AI215" s="13"/>
      <c r="AJ215" s="14"/>
      <c r="AN215"/>
      <c r="AO215"/>
      <c r="AP215"/>
      <c r="AQ215"/>
      <c r="AR215"/>
      <c r="AS215"/>
      <c r="AT215"/>
      <c r="AU215"/>
      <c r="AV215"/>
      <c r="AW215"/>
      <c r="AX215"/>
      <c r="AY215" s="11"/>
      <c r="AZ215" s="11"/>
      <c r="BA215"/>
      <c r="BB215"/>
      <c r="BD215"/>
      <c r="BE215"/>
      <c r="BG215"/>
      <c r="BJ215"/>
    </row>
    <row r="216" spans="33:62" ht="13.8" hidden="1" x14ac:dyDescent="0.25">
      <c r="AG216" s="13"/>
      <c r="AH216" s="14"/>
      <c r="AI216" s="13"/>
      <c r="AJ216" s="14"/>
      <c r="AN216"/>
      <c r="AO216"/>
      <c r="AP216"/>
      <c r="AQ216"/>
      <c r="AR216"/>
      <c r="AS216"/>
      <c r="AT216"/>
      <c r="AU216"/>
      <c r="AV216"/>
      <c r="AW216"/>
      <c r="AX216"/>
      <c r="AY216" s="11"/>
      <c r="AZ216" s="11"/>
      <c r="BA216"/>
      <c r="BB216"/>
      <c r="BD216"/>
      <c r="BE216"/>
      <c r="BG216"/>
      <c r="BJ216"/>
    </row>
    <row r="217" spans="33:62" ht="13.8" hidden="1" x14ac:dyDescent="0.25">
      <c r="AG217" s="13"/>
      <c r="AH217" s="14"/>
      <c r="AI217" s="13"/>
      <c r="AJ217" s="14"/>
      <c r="AN217"/>
      <c r="AO217"/>
      <c r="AP217"/>
      <c r="AQ217"/>
      <c r="AR217"/>
      <c r="AS217"/>
      <c r="AT217"/>
      <c r="AU217"/>
      <c r="AV217"/>
      <c r="AW217"/>
      <c r="AX217"/>
      <c r="AY217" s="11"/>
      <c r="AZ217" s="11"/>
      <c r="BA217"/>
      <c r="BB217"/>
      <c r="BD217"/>
      <c r="BE217"/>
      <c r="BG217"/>
      <c r="BJ217"/>
    </row>
    <row r="218" spans="33:62" ht="13.8" hidden="1" x14ac:dyDescent="0.25">
      <c r="AG218" s="13"/>
      <c r="AH218" s="14"/>
      <c r="AI218" s="13"/>
      <c r="AJ218" s="14"/>
      <c r="AN218"/>
      <c r="AO218"/>
      <c r="AP218"/>
      <c r="AQ218"/>
      <c r="AR218"/>
      <c r="AS218"/>
      <c r="AT218"/>
      <c r="AU218"/>
      <c r="AV218"/>
      <c r="AW218"/>
      <c r="AX218"/>
      <c r="AY218" s="11"/>
      <c r="AZ218" s="11"/>
      <c r="BA218"/>
      <c r="BB218"/>
      <c r="BD218"/>
      <c r="BE218"/>
      <c r="BG218"/>
      <c r="BJ218"/>
    </row>
    <row r="219" spans="33:62" ht="13.2" hidden="1" x14ac:dyDescent="0.25">
      <c r="AN219"/>
      <c r="AO219"/>
      <c r="AP219"/>
      <c r="AQ219"/>
      <c r="AR219"/>
      <c r="AS219"/>
      <c r="AT219"/>
      <c r="AU219"/>
      <c r="AV219"/>
      <c r="AW219"/>
      <c r="AX219"/>
      <c r="BA219"/>
      <c r="BB219"/>
      <c r="BD219"/>
      <c r="BE219"/>
      <c r="BG219"/>
      <c r="BJ219"/>
    </row>
    <row r="220" spans="33:62" ht="13.2" hidden="1" x14ac:dyDescent="0.25">
      <c r="BA220"/>
      <c r="BB220"/>
      <c r="BG220"/>
      <c r="BJ220"/>
    </row>
    <row r="221" spans="33:62" ht="13.2" hidden="1" x14ac:dyDescent="0.25">
      <c r="BA221"/>
      <c r="BB221"/>
      <c r="BG221"/>
      <c r="BJ221"/>
    </row>
    <row r="222" spans="33:62" ht="13.2" hidden="1" x14ac:dyDescent="0.25">
      <c r="BA222"/>
      <c r="BB222"/>
      <c r="BG222"/>
      <c r="BJ222"/>
    </row>
    <row r="223" spans="33:62" ht="13.2" hidden="1" x14ac:dyDescent="0.25">
      <c r="BA223"/>
      <c r="BB223"/>
      <c r="BG223"/>
      <c r="BJ223"/>
    </row>
    <row r="224" spans="33:62" ht="13.2" hidden="1" x14ac:dyDescent="0.25">
      <c r="BA224"/>
      <c r="BB224"/>
      <c r="BG224"/>
      <c r="BJ224"/>
    </row>
    <row r="225" spans="53:62" ht="13.2" hidden="1" x14ac:dyDescent="0.25">
      <c r="BA225"/>
      <c r="BB225"/>
      <c r="BG225"/>
      <c r="BJ225"/>
    </row>
    <row r="226" spans="53:62" ht="13.2" hidden="1" x14ac:dyDescent="0.25">
      <c r="BA226"/>
      <c r="BB226"/>
      <c r="BG226"/>
      <c r="BJ226"/>
    </row>
    <row r="227" spans="53:62" ht="13.2" hidden="1" x14ac:dyDescent="0.25">
      <c r="BA227"/>
      <c r="BB227"/>
      <c r="BG227"/>
      <c r="BJ227"/>
    </row>
    <row r="228" spans="53:62" ht="13.2" hidden="1" x14ac:dyDescent="0.25">
      <c r="BA228"/>
      <c r="BB228"/>
      <c r="BG228"/>
      <c r="BJ228"/>
    </row>
    <row r="229" spans="53:62" ht="13.2" hidden="1" x14ac:dyDescent="0.25">
      <c r="BA229"/>
      <c r="BB229"/>
      <c r="BG229"/>
      <c r="BJ229"/>
    </row>
    <row r="230" spans="53:62" ht="13.2" hidden="1" x14ac:dyDescent="0.25">
      <c r="BA230"/>
      <c r="BB230"/>
      <c r="BG230"/>
      <c r="BJ230"/>
    </row>
    <row r="231" spans="53:62" ht="13.2" hidden="1" x14ac:dyDescent="0.25">
      <c r="BA231"/>
      <c r="BB231"/>
      <c r="BG231"/>
      <c r="BJ231"/>
    </row>
    <row r="232" spans="53:62" ht="13.2" hidden="1" x14ac:dyDescent="0.25">
      <c r="BA232"/>
      <c r="BB232"/>
      <c r="BG232"/>
      <c r="BJ232"/>
    </row>
    <row r="233" spans="53:62" ht="13.2" hidden="1" x14ac:dyDescent="0.25">
      <c r="BA233"/>
      <c r="BB233"/>
      <c r="BG233"/>
      <c r="BJ233"/>
    </row>
    <row r="234" spans="53:62" ht="13.2" hidden="1" x14ac:dyDescent="0.25">
      <c r="BA234"/>
      <c r="BB234"/>
      <c r="BG234"/>
      <c r="BJ234"/>
    </row>
    <row r="235" spans="53:62" ht="13.2" hidden="1" x14ac:dyDescent="0.25">
      <c r="BA235"/>
      <c r="BB235"/>
      <c r="BG235"/>
      <c r="BJ235"/>
    </row>
    <row r="236" spans="53:62" ht="13.2" hidden="1" x14ac:dyDescent="0.25">
      <c r="BA236"/>
      <c r="BB236"/>
      <c r="BG236"/>
      <c r="BJ236"/>
    </row>
    <row r="237" spans="53:62" ht="13.2" hidden="1" x14ac:dyDescent="0.25">
      <c r="BA237"/>
      <c r="BB237"/>
      <c r="BG237"/>
      <c r="BJ237"/>
    </row>
    <row r="238" spans="53:62" ht="13.2" hidden="1" x14ac:dyDescent="0.25">
      <c r="BA238"/>
      <c r="BB238"/>
      <c r="BG238"/>
      <c r="BJ238"/>
    </row>
    <row r="239" spans="53:62" ht="13.2" hidden="1" x14ac:dyDescent="0.25">
      <c r="BA239"/>
      <c r="BB239"/>
      <c r="BG239"/>
      <c r="BJ239"/>
    </row>
    <row r="240" spans="53:62" ht="13.2" hidden="1" x14ac:dyDescent="0.25">
      <c r="BA240"/>
      <c r="BB240"/>
      <c r="BG240"/>
      <c r="BJ240"/>
    </row>
    <row r="241" spans="53:62" ht="13.2" hidden="1" x14ac:dyDescent="0.25">
      <c r="BA241"/>
      <c r="BB241"/>
      <c r="BG241"/>
      <c r="BJ241"/>
    </row>
    <row r="242" spans="53:62" ht="13.2" hidden="1" x14ac:dyDescent="0.25">
      <c r="BA242"/>
      <c r="BB242"/>
      <c r="BG242"/>
      <c r="BJ242"/>
    </row>
    <row r="243" spans="53:62" ht="13.2" hidden="1" x14ac:dyDescent="0.25">
      <c r="BA243"/>
      <c r="BB243"/>
      <c r="BG243"/>
      <c r="BJ243"/>
    </row>
    <row r="244" spans="53:62" ht="13.2" hidden="1" x14ac:dyDescent="0.25">
      <c r="BA244"/>
      <c r="BB244"/>
      <c r="BG244"/>
      <c r="BJ244"/>
    </row>
    <row r="245" spans="53:62" ht="13.2" hidden="1" x14ac:dyDescent="0.25">
      <c r="BA245"/>
      <c r="BB245"/>
      <c r="BG245"/>
      <c r="BJ245"/>
    </row>
    <row r="246" spans="53:62" ht="13.2" hidden="1" x14ac:dyDescent="0.25">
      <c r="BA246"/>
      <c r="BB246"/>
      <c r="BG246"/>
      <c r="BJ246"/>
    </row>
    <row r="247" spans="53:62" ht="13.2" hidden="1" x14ac:dyDescent="0.25">
      <c r="BA247"/>
      <c r="BB247"/>
      <c r="BG247"/>
      <c r="BJ247"/>
    </row>
    <row r="248" spans="53:62" ht="13.2" hidden="1" x14ac:dyDescent="0.25">
      <c r="BA248"/>
      <c r="BB248"/>
      <c r="BG248"/>
      <c r="BJ248"/>
    </row>
    <row r="249" spans="53:62" ht="13.2" hidden="1" x14ac:dyDescent="0.25">
      <c r="BA249"/>
      <c r="BB249"/>
      <c r="BG249"/>
      <c r="BJ249"/>
    </row>
    <row r="250" spans="53:62" ht="13.2" hidden="1" x14ac:dyDescent="0.25">
      <c r="BA250"/>
      <c r="BB250"/>
      <c r="BG250"/>
      <c r="BJ250"/>
    </row>
    <row r="251" spans="53:62" ht="13.2" hidden="1" x14ac:dyDescent="0.25">
      <c r="BA251"/>
      <c r="BB251"/>
      <c r="BG251"/>
      <c r="BJ251"/>
    </row>
    <row r="252" spans="53:62" ht="13.2" hidden="1" x14ac:dyDescent="0.25">
      <c r="BA252"/>
      <c r="BB252"/>
      <c r="BG252"/>
      <c r="BJ252"/>
    </row>
    <row r="253" spans="53:62" ht="13.2" hidden="1" x14ac:dyDescent="0.25">
      <c r="BA253"/>
      <c r="BB253"/>
      <c r="BG253"/>
      <c r="BJ253"/>
    </row>
    <row r="254" spans="53:62" ht="13.2" hidden="1" x14ac:dyDescent="0.25">
      <c r="BA254"/>
      <c r="BB254"/>
      <c r="BG254"/>
      <c r="BJ254"/>
    </row>
    <row r="255" spans="53:62" ht="13.2" hidden="1" x14ac:dyDescent="0.25">
      <c r="BA255"/>
      <c r="BB255"/>
      <c r="BG255"/>
      <c r="BJ255"/>
    </row>
    <row r="256" spans="53:62" ht="13.2" hidden="1" x14ac:dyDescent="0.25">
      <c r="BA256"/>
      <c r="BB256"/>
      <c r="BG256"/>
      <c r="BJ256"/>
    </row>
    <row r="257" spans="53:62" ht="13.2" hidden="1" x14ac:dyDescent="0.25">
      <c r="BA257"/>
      <c r="BB257"/>
      <c r="BG257"/>
      <c r="BJ257"/>
    </row>
    <row r="258" spans="53:62" ht="13.2" hidden="1" x14ac:dyDescent="0.25">
      <c r="BA258"/>
      <c r="BB258"/>
      <c r="BG258"/>
      <c r="BJ258"/>
    </row>
    <row r="259" spans="53:62" ht="13.2" hidden="1" x14ac:dyDescent="0.25">
      <c r="BA259"/>
      <c r="BB259"/>
      <c r="BG259"/>
      <c r="BJ259"/>
    </row>
    <row r="260" spans="53:62" ht="13.2" hidden="1" x14ac:dyDescent="0.25">
      <c r="BA260"/>
      <c r="BB260"/>
      <c r="BG260"/>
      <c r="BJ260"/>
    </row>
    <row r="261" spans="53:62" ht="13.2" hidden="1" x14ac:dyDescent="0.25">
      <c r="BA261"/>
      <c r="BB261"/>
      <c r="BG261"/>
      <c r="BJ261"/>
    </row>
    <row r="262" spans="53:62" ht="13.2" hidden="1" x14ac:dyDescent="0.25">
      <c r="BA262"/>
      <c r="BB262"/>
      <c r="BG262"/>
      <c r="BJ262"/>
    </row>
    <row r="263" spans="53:62" ht="13.2" hidden="1" x14ac:dyDescent="0.25">
      <c r="BA263"/>
      <c r="BB263"/>
      <c r="BG263"/>
      <c r="BJ263"/>
    </row>
    <row r="264" spans="53:62" ht="13.2" hidden="1" x14ac:dyDescent="0.25">
      <c r="BA264"/>
      <c r="BB264"/>
      <c r="BG264"/>
      <c r="BJ264"/>
    </row>
    <row r="265" spans="53:62" ht="13.2" hidden="1" x14ac:dyDescent="0.25">
      <c r="BA265"/>
      <c r="BB265"/>
      <c r="BG265"/>
      <c r="BJ265"/>
    </row>
    <row r="266" spans="53:62" ht="13.2" hidden="1" x14ac:dyDescent="0.25">
      <c r="BA266"/>
      <c r="BB266"/>
      <c r="BG266"/>
      <c r="BJ266"/>
    </row>
    <row r="267" spans="53:62" ht="13.2" hidden="1" x14ac:dyDescent="0.25">
      <c r="BA267"/>
      <c r="BB267"/>
      <c r="BG267"/>
      <c r="BJ267"/>
    </row>
    <row r="268" spans="53:62" ht="13.2" hidden="1" x14ac:dyDescent="0.25">
      <c r="BA268"/>
      <c r="BB268"/>
      <c r="BG268"/>
      <c r="BJ268"/>
    </row>
    <row r="269" spans="53:62" ht="13.2" hidden="1" x14ac:dyDescent="0.25">
      <c r="BA269"/>
      <c r="BB269"/>
      <c r="BG269"/>
      <c r="BJ269"/>
    </row>
    <row r="270" spans="53:62" ht="13.2" hidden="1" x14ac:dyDescent="0.25">
      <c r="BA270"/>
      <c r="BB270"/>
      <c r="BG270"/>
      <c r="BJ270"/>
    </row>
    <row r="271" spans="53:62" ht="13.2" hidden="1" x14ac:dyDescent="0.25">
      <c r="BA271"/>
      <c r="BB271"/>
      <c r="BG271"/>
      <c r="BJ271"/>
    </row>
    <row r="272" spans="53:62" ht="13.2" hidden="1" x14ac:dyDescent="0.25">
      <c r="BA272"/>
      <c r="BB272"/>
      <c r="BG272"/>
      <c r="BJ272"/>
    </row>
    <row r="273" spans="53:62" ht="13.2" hidden="1" x14ac:dyDescent="0.25">
      <c r="BA273"/>
      <c r="BB273"/>
      <c r="BG273"/>
      <c r="BJ273"/>
    </row>
    <row r="274" spans="53:62" ht="13.2" hidden="1" x14ac:dyDescent="0.25">
      <c r="BA274"/>
      <c r="BB274"/>
      <c r="BG274"/>
      <c r="BJ274"/>
    </row>
    <row r="275" spans="53:62" ht="13.2" hidden="1" x14ac:dyDescent="0.25">
      <c r="BA275"/>
      <c r="BB275"/>
      <c r="BG275"/>
      <c r="BJ275"/>
    </row>
    <row r="276" spans="53:62" ht="13.2" hidden="1" x14ac:dyDescent="0.25">
      <c r="BA276"/>
      <c r="BB276"/>
      <c r="BG276"/>
      <c r="BJ276"/>
    </row>
    <row r="277" spans="53:62" ht="13.2" hidden="1" x14ac:dyDescent="0.25"/>
    <row r="278" spans="53:62" ht="13.2" hidden="1" x14ac:dyDescent="0.25"/>
    <row r="279" spans="53:62" ht="12.75" hidden="1" customHeight="1" x14ac:dyDescent="0.25"/>
  </sheetData>
  <sheetProtection algorithmName="SHA-512" hashValue="fUQgBwVjT7xB7nYK7KIoNNQYTXWG16hl0H12/3yJu4w05XJHRaTrknNzjrUVZ6pubma3NAWY1jTupqShV/fAXg==" saltValue="Ls+cBKnb3J9wVqzd8kNqsQ==" spinCount="100000" sheet="1" objects="1" scenarios="1"/>
  <mergeCells count="24">
    <mergeCell ref="Q4:S4"/>
    <mergeCell ref="Q5:S5"/>
    <mergeCell ref="K8:K9"/>
    <mergeCell ref="Q9:R9"/>
    <mergeCell ref="Q14:T14"/>
    <mergeCell ref="E21:H22"/>
    <mergeCell ref="I21:I22"/>
    <mergeCell ref="Q15:T15"/>
    <mergeCell ref="M16:N16"/>
    <mergeCell ref="Q16:T16"/>
    <mergeCell ref="M20:N20"/>
    <mergeCell ref="AQ37:AT37"/>
    <mergeCell ref="AV37:AW37"/>
    <mergeCell ref="AX37:AY37"/>
    <mergeCell ref="Q24:T24"/>
    <mergeCell ref="B102:H105"/>
    <mergeCell ref="I30:J30"/>
    <mergeCell ref="AL34:AO34"/>
    <mergeCell ref="AL35:AO35"/>
    <mergeCell ref="J37:J38"/>
    <mergeCell ref="N37:N38"/>
    <mergeCell ref="W37:W38"/>
    <mergeCell ref="AA37:AA38"/>
    <mergeCell ref="AL37:AO37"/>
  </mergeCells>
  <conditionalFormatting sqref="B39:B98 O39:O98">
    <cfRule type="cellIs" dxfId="16" priority="14" operator="greaterThan">
      <formula>120</formula>
    </cfRule>
  </conditionalFormatting>
  <conditionalFormatting sqref="E23">
    <cfRule type="expression" dxfId="15" priority="11">
      <formula>$G$23=0</formula>
    </cfRule>
  </conditionalFormatting>
  <conditionalFormatting sqref="E39:I99">
    <cfRule type="cellIs" dxfId="14" priority="10" operator="equal">
      <formula>0</formula>
    </cfRule>
  </conditionalFormatting>
  <conditionalFormatting sqref="G23">
    <cfRule type="cellIs" dxfId="13" priority="12" operator="equal">
      <formula>0</formula>
    </cfRule>
  </conditionalFormatting>
  <conditionalFormatting sqref="J39:J98">
    <cfRule type="expression" dxfId="12" priority="2">
      <formula>$L$106&lt;0</formula>
    </cfRule>
  </conditionalFormatting>
  <conditionalFormatting sqref="K99:M99">
    <cfRule type="cellIs" dxfId="11" priority="8" operator="equal">
      <formula>0</formula>
    </cfRule>
  </conditionalFormatting>
  <conditionalFormatting sqref="K39:N98">
    <cfRule type="cellIs" dxfId="10" priority="4" operator="equal">
      <formula>0</formula>
    </cfRule>
    <cfRule type="expression" dxfId="9" priority="5">
      <formula>$R$104&lt;0</formula>
    </cfRule>
  </conditionalFormatting>
  <conditionalFormatting sqref="N99">
    <cfRule type="cellIs" dxfId="8" priority="3" operator="equal">
      <formula>0</formula>
    </cfRule>
  </conditionalFormatting>
  <conditionalFormatting sqref="P39:V39 C39:D98 P40:Q98 R40:V99 X99:Z99">
    <cfRule type="cellIs" dxfId="7" priority="15" operator="equal">
      <formula>0</formula>
    </cfRule>
  </conditionalFormatting>
  <conditionalFormatting sqref="Q4:Q5">
    <cfRule type="expression" dxfId="6" priority="16">
      <formula>$S$6=0</formula>
    </cfRule>
    <cfRule type="expression" dxfId="5" priority="17">
      <formula>$S$6&gt;0</formula>
    </cfRule>
  </conditionalFormatting>
  <conditionalFormatting sqref="T8:AA8 Q9 S9 M20 O20">
    <cfRule type="notContainsBlanks" dxfId="4" priority="13">
      <formula>LEN(TRIM(M8))&gt;0</formula>
    </cfRule>
  </conditionalFormatting>
  <conditionalFormatting sqref="W39:W87">
    <cfRule type="expression" dxfId="3" priority="1">
      <formula>$L$106&lt;0</formula>
    </cfRule>
  </conditionalFormatting>
  <conditionalFormatting sqref="X39:AA98">
    <cfRule type="cellIs" dxfId="2" priority="7" operator="equal">
      <formula>0</formula>
    </cfRule>
  </conditionalFormatting>
  <conditionalFormatting sqref="X39:AB87 W88:AB98">
    <cfRule type="expression" dxfId="1" priority="9">
      <formula>$R$104&lt;0</formula>
    </cfRule>
  </conditionalFormatting>
  <conditionalFormatting sqref="AA99">
    <cfRule type="cellIs" dxfId="0" priority="6" operator="equal">
      <formula>0</formula>
    </cfRule>
  </conditionalFormatting>
  <dataValidations count="8">
    <dataValidation type="list" errorStyle="information" allowBlank="1" showInputMessage="1" errorTitle="Anticipos" error="Valor del anticipo en este mes" sqref="AB39:AB98" xr:uid="{A2F1C7A2-6721-4248-ABC8-9D0533FE8E8C}">
      <formula1>#REF!</formula1>
    </dataValidation>
    <dataValidation type="list" errorStyle="information" allowBlank="1" showInputMessage="1" errorTitle="Anticipos" error="Valor del anticipo en este mes" sqref="W39:W98" xr:uid="{2993437F-9221-4816-8B54-B9F785A02403}">
      <formula1>$AT39</formula1>
    </dataValidation>
    <dataValidation type="list" errorStyle="information" allowBlank="1" showInputMessage="1" errorTitle="Anticipos" error="Valor del anticipo en este mes" sqref="J39:J98" xr:uid="{4C6EECF4-F314-461B-AFE8-A7248E0D5E7D}">
      <formula1>$AR39</formula1>
    </dataValidation>
    <dataValidation type="whole" allowBlank="1" showInputMessage="1" showErrorMessage="1" sqref="B7" xr:uid="{50A0D75D-1E92-4087-A8E4-95987063B616}">
      <formula1>250000</formula1>
      <formula2>50000000</formula2>
    </dataValidation>
    <dataValidation type="list" allowBlank="1" showInputMessage="1" showErrorMessage="1" sqref="R21" xr:uid="{DE29F026-A5A8-4F84-8C89-0E38CB938111}">
      <formula1>$AG$38:$AG$43</formula1>
    </dataValidation>
    <dataValidation type="custom" errorStyle="warning" operator="greaterThanOrEqual" allowBlank="1" showInputMessage="1" showErrorMessage="1" sqref="R104" xr:uid="{C88F7BDD-6013-408E-962B-A5E640816C4B}">
      <formula1>(84-#REF!-#REF!)&lt;0</formula1>
    </dataValidation>
    <dataValidation type="whole" allowBlank="1" showInputMessage="1" showErrorMessage="1" sqref="E17" xr:uid="{AA485048-F376-40E8-B34C-4257545773D6}">
      <formula1>1</formula1>
      <formula2>60</formula2>
    </dataValidation>
    <dataValidation type="whole" operator="equal" allowBlank="1" showInputMessage="1" showErrorMessage="1" sqref="E18" xr:uid="{2AC98F4E-D38A-4C7C-89B9-7F56DC22C6E8}">
      <formula1>65-E17</formula1>
    </dataValidation>
  </dataValidations>
  <printOptions horizontalCentered="1"/>
  <pageMargins left="0.23622047244094491" right="0.15748031496062992" top="0.22" bottom="0.19" header="0.21" footer="0.17"/>
  <pageSetup scale="31" orientation="landscape" cellComments="asDisplayed" r:id="rId1"/>
  <ignoredErrors>
    <ignoredError sqref="F3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4" name="Check Box 2">
              <controlPr locked="0" defaultSize="0" autoFill="0" autoLine="0" autoPict="0">
                <anchor moveWithCells="1">
                  <from>
                    <xdr:col>15</xdr:col>
                    <xdr:colOff>952500</xdr:colOff>
                    <xdr:row>20</xdr:row>
                    <xdr:rowOff>182880</xdr:rowOff>
                  </from>
                  <to>
                    <xdr:col>16</xdr:col>
                    <xdr:colOff>182880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5" name="Check Box 5">
              <controlPr locked="0" defaultSize="0" autoFill="0" autoLine="0" autoPict="0">
                <anchor moveWithCells="1">
                  <from>
                    <xdr:col>15</xdr:col>
                    <xdr:colOff>952500</xdr:colOff>
                    <xdr:row>17</xdr:row>
                    <xdr:rowOff>198120</xdr:rowOff>
                  </from>
                  <to>
                    <xdr:col>16</xdr:col>
                    <xdr:colOff>182880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6" name="Check Box 6">
              <controlPr locked="0" defaultSize="0" autoFill="0" autoLine="0" autoPict="0">
                <anchor moveWithCells="1">
                  <from>
                    <xdr:col>15</xdr:col>
                    <xdr:colOff>952500</xdr:colOff>
                    <xdr:row>19</xdr:row>
                    <xdr:rowOff>190500</xdr:rowOff>
                  </from>
                  <to>
                    <xdr:col>16</xdr:col>
                    <xdr:colOff>182880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0caff1bc-5fce-4cec-9ed9-59fcbaecef20}" enabled="0" method="" siteId="{0caff1bc-5fce-4cec-9ed9-59fcbaecef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 Flex</vt:lpstr>
      <vt:lpstr>Flex</vt:lpstr>
      <vt:lpstr>Flex Extranjeros</vt:lpstr>
      <vt:lpstr>Flex!Área_de_impresión</vt:lpstr>
      <vt:lpstr>'Flex Extranjeros'!Área_de_impresión</vt:lpstr>
      <vt:lpstr>'Resumen Flex'!Área_de_impresión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Corona</dc:creator>
  <cp:keywords/>
  <dc:description/>
  <cp:lastModifiedBy>Maria Martinez- Dirección Ejecutiva de Operaciones</cp:lastModifiedBy>
  <cp:revision/>
  <cp:lastPrinted>2025-02-04T17:21:49Z</cp:lastPrinted>
  <dcterms:created xsi:type="dcterms:W3CDTF">2017-05-25T17:28:33Z</dcterms:created>
  <dcterms:modified xsi:type="dcterms:W3CDTF">2025-02-04T17:21:58Z</dcterms:modified>
  <cp:category/>
  <cp:contentStatus/>
</cp:coreProperties>
</file>